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11 - '24\B info o stopie bezrobocia\"/>
    </mc:Choice>
  </mc:AlternateContent>
  <xr:revisionPtr revIDLastSave="0" documentId="13_ncr:1_{E316ECCA-06BA-41F9-80FF-8A29D4BE2B1F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34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8" l="1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H29" i="29"/>
  <c r="G29" i="29"/>
  <c r="I36" i="29"/>
  <c r="H36" i="29"/>
  <c r="G36" i="29"/>
  <c r="I35" i="29"/>
  <c r="H35" i="29"/>
  <c r="G35" i="29"/>
  <c r="I34" i="29"/>
  <c r="H34" i="29"/>
  <c r="G34" i="29"/>
  <c r="I33" i="29"/>
  <c r="H33" i="29"/>
  <c r="G33" i="29"/>
  <c r="I32" i="29"/>
  <c r="H32" i="29"/>
  <c r="G32" i="29"/>
  <c r="I31" i="29"/>
  <c r="H31" i="29"/>
  <c r="G31" i="29"/>
  <c r="I30" i="29"/>
  <c r="H30" i="29"/>
  <c r="G30" i="29"/>
  <c r="I28" i="29"/>
  <c r="H28" i="29"/>
  <c r="G28" i="29"/>
  <c r="I27" i="29"/>
  <c r="H27" i="29"/>
  <c r="G27" i="29"/>
  <c r="I26" i="29"/>
  <c r="H26" i="29"/>
  <c r="G26" i="29"/>
  <c r="I25" i="29"/>
  <c r="H25" i="29"/>
  <c r="G25" i="29"/>
  <c r="I24" i="29"/>
  <c r="H24" i="29"/>
  <c r="G24" i="29"/>
  <c r="I23" i="29"/>
  <c r="H23" i="29"/>
  <c r="G23" i="29"/>
  <c r="I22" i="29"/>
  <c r="H22" i="29"/>
  <c r="G22" i="29"/>
  <c r="I21" i="29"/>
  <c r="H21" i="29"/>
  <c r="G21" i="29"/>
  <c r="I20" i="29"/>
  <c r="H20" i="29"/>
  <c r="G20" i="29"/>
  <c r="I19" i="29"/>
  <c r="H19" i="29"/>
  <c r="G19" i="29"/>
  <c r="I18" i="29"/>
  <c r="H18" i="29"/>
  <c r="G18" i="29"/>
  <c r="I17" i="29"/>
  <c r="H17" i="29"/>
  <c r="G17" i="29"/>
  <c r="I16" i="29"/>
  <c r="H16" i="29"/>
  <c r="G16" i="29"/>
  <c r="I15" i="29"/>
  <c r="H15" i="29"/>
  <c r="G15" i="29"/>
  <c r="I14" i="29"/>
  <c r="H14" i="29"/>
  <c r="G14" i="29"/>
  <c r="I13" i="29"/>
  <c r="H13" i="29"/>
  <c r="G13" i="29"/>
  <c r="I12" i="29"/>
  <c r="H12" i="29"/>
  <c r="G12" i="29"/>
  <c r="I11" i="29"/>
  <c r="H11" i="29"/>
  <c r="G11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<sst xmlns="http://schemas.openxmlformats.org/spreadsheetml/2006/main" count="149" uniqueCount="140">
  <si>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</si>
  <si>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</si>
  <si>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</si>
  <si>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</si>
  <si>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</si>
  <si>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</si>
  <si>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</si>
  <si>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</si>
  <si>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</si>
  <si>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</si>
  <si>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</si>
  <si>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</si>
  <si>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</si>
  <si>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</si>
  <si>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</si>
  <si>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</si>
  <si>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</si>
  <si>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</si>
  <si>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</si>
  <si>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</si>
  <si>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</si>
  <si>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</si>
  <si>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</si>
  <si>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</si>
  <si>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</si>
  <si>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</si>
  <si>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</si>
  <si>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</si>
  <si>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</si>
  <si>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</si>
  <si>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</si>
  <si>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</si>
  <si>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</si>
  <si>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</si>
  <si>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</si>
  <si>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</si>
  <si>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</si>
  <si>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</si>
  <si>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</si>
  <si>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</si>
  <si>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</si>
  <si>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</si>
  <si>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</si>
  <si>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</si>
  <si>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</si>
  <si>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</si>
  <si>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</si>
  <si>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</si>
  <si>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</si>
  <si>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</si>
  <si>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</si>
  <si>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</si>
  <si>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</si>
  <si>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</si>
  <si>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</si>
  <si>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</si>
  <si>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</si>
  <si>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</si>
  <si>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</si>
  <si>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</si>
  <si>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</si>
  <si>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</si>
  <si>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31XII90</t>
  </si>
  <si>
    <t>31XII91</t>
  </si>
  <si>
    <t>31XII92</t>
  </si>
  <si>
    <t>31XII93</t>
  </si>
  <si>
    <t>31XII94</t>
  </si>
  <si>
    <t>31XII95</t>
  </si>
  <si>
    <t>31XII96</t>
  </si>
  <si>
    <t>31XII97</t>
  </si>
  <si>
    <t>31XII98</t>
  </si>
  <si>
    <t>31XII99</t>
  </si>
  <si>
    <t>31XII00</t>
  </si>
  <si>
    <t>31XII01</t>
  </si>
  <si>
    <t>31XII02</t>
  </si>
  <si>
    <t>31XII03</t>
  </si>
  <si>
    <t>31XII04</t>
  </si>
  <si>
    <t>31XII05</t>
  </si>
  <si>
    <t>31XII06</t>
  </si>
  <si>
    <t>31XII07</t>
  </si>
  <si>
    <t>31XII08</t>
  </si>
  <si>
    <t>31XII09</t>
  </si>
  <si>
    <t>31XII10</t>
  </si>
  <si>
    <t>31XII11</t>
  </si>
  <si>
    <t>31XII12</t>
  </si>
  <si>
    <t>31XII13</t>
  </si>
  <si>
    <t>31XII14</t>
  </si>
  <si>
    <t>31XII15</t>
  </si>
  <si>
    <t>31XII16</t>
  </si>
  <si>
    <t>31XII17</t>
  </si>
  <si>
    <t>31XII18</t>
  </si>
  <si>
    <t>31XII19</t>
  </si>
  <si>
    <t>31XII20</t>
  </si>
  <si>
    <t>31XII21</t>
  </si>
  <si>
    <t>31XII22</t>
  </si>
  <si>
    <t>31XII23</t>
  </si>
  <si>
    <t>31XII24</t>
  </si>
  <si>
    <t>31I90</t>
  </si>
  <si>
    <t>31I91</t>
  </si>
  <si>
    <t>31I92</t>
  </si>
  <si>
    <t>31I93</t>
  </si>
  <si>
    <t>31I94</t>
  </si>
  <si>
    <t>31I95</t>
  </si>
  <si>
    <t>31I96</t>
  </si>
  <si>
    <t>31I97</t>
  </si>
  <si>
    <t>31I98</t>
  </si>
  <si>
    <t>31I99</t>
  </si>
  <si>
    <t>31I00</t>
  </si>
  <si>
    <t>31I01</t>
  </si>
  <si>
    <t>31I04</t>
  </si>
  <si>
    <t>31I02</t>
  </si>
  <si>
    <t>31I03</t>
  </si>
  <si>
    <t>31I05</t>
  </si>
  <si>
    <t>31I06</t>
  </si>
  <si>
    <t>31I07</t>
  </si>
  <si>
    <t>31I08</t>
  </si>
  <si>
    <t>31I09</t>
  </si>
  <si>
    <t>31I10</t>
  </si>
  <si>
    <t>31I11</t>
  </si>
  <si>
    <t>31I12</t>
  </si>
  <si>
    <t>31I13</t>
  </si>
  <si>
    <t>31I14</t>
  </si>
  <si>
    <t>31I15</t>
  </si>
  <si>
    <t>31I16</t>
  </si>
  <si>
    <t>31I17</t>
  </si>
  <si>
    <t>31I18</t>
  </si>
  <si>
    <t>31I19</t>
  </si>
  <si>
    <t>31I20</t>
  </si>
  <si>
    <t>31I21</t>
  </si>
  <si>
    <t>31I22</t>
  </si>
  <si>
    <t>31I23</t>
  </si>
  <si>
    <t>31I24</t>
  </si>
  <si>
    <t>Stopa bezrobocia stan na 31-10-'24 r. (w proc.)*</t>
  </si>
  <si>
    <t>Stopa bezrobocia [proc.] *</t>
  </si>
  <si>
    <t>*  Stopa bezrobocia w stosunku do osób aktywnych zawodowo tj. bezrobotnych i pracujących.</t>
  </si>
  <si>
    <r>
      <t>Stopa bezrobocia stan na 30</t>
    </r>
    <r>
      <rPr>
        <sz val="12"/>
        <color theme="1"/>
        <rFont val="Arial"/>
        <family val="2"/>
        <charset val="238"/>
      </rPr>
      <t>-11-'23 r</t>
    </r>
    <r>
      <rPr>
        <sz val="11"/>
        <color theme="1"/>
        <rFont val="Arial"/>
        <family val="2"/>
        <charset val="238"/>
      </rPr>
      <t>. w proc.*</t>
    </r>
  </si>
  <si>
    <r>
      <t>Stopa bezrobocia stan na 30</t>
    </r>
    <r>
      <rPr>
        <sz val="12"/>
        <color theme="1"/>
        <rFont val="Arial"/>
        <family val="2"/>
        <charset val="238"/>
      </rPr>
      <t xml:space="preserve">-11-'24 </t>
    </r>
    <r>
      <rPr>
        <sz val="11"/>
        <color theme="1"/>
        <rFont val="Arial"/>
        <family val="2"/>
        <charset val="238"/>
      </rPr>
      <t>r. w proc.*</t>
    </r>
  </si>
  <si>
    <t>Stopa bezrobocia stan na 31-10-'24 r. w proc. *</t>
  </si>
  <si>
    <t>Stopa bezrobocia stan na 30-11-'24 r. (w proc.)*</t>
  </si>
  <si>
    <t>Stopa bezrobocia stan na 30-11-'23 r. (w proc.)*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</si>
</sst>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  <xf numFmtId="0" fontId="14" fillId="5" borderId="19">
      <alignment horizontal="left" vertical="center" wrapText="1"/>
    </xf>
  </cellStyleXfs>
  <cellXfs count="92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/>
    <xf numFmtId="0" fontId="8" fillId="2" borderId="0" xfId="0" applyFont="1" applyFill="1" applyAlignment="1">
      <alignment horizontal="right" vertical="center"/>
    </xf>
    <xf numFmtId="164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4" fontId="13" fillId="2" borderId="17" xfId="0" applyNumberFormat="1" applyFont="1" applyFill="1" applyBorder="1" applyAlignment="1">
      <alignment horizontal="center" vertical="center"/>
    </xf>
    <xf numFmtId="14" fontId="13" fillId="2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  <xf numFmtId="3" fontId="13" fillId="2" borderId="0" xfId="0" applyNumberFormat="1" applyFont="1" applyFill="1"/>
    <xf numFmtId="3" fontId="13" fillId="2" borderId="6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</cellXfs>
  <cellStyles count="6">
    <cellStyle name="Hiperłącze" xfId="2" builtinId="8"/>
    <cellStyle name="Kolumna" xfId="5" xr:uid="{3E4447A5-8C10-4223-996B-BB0E7BE22279}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0000FF"/>
      <color rgb="FFF8EDEC"/>
      <color rgb="FFF5E4E3"/>
      <color rgb="FFFDE2CB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34669144689260606"/>
          <c:y val="3.47424443709307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LUBUSKIE</c:v>
                </c:pt>
                <c:pt idx="5">
                  <c:v>DOLNOŚLĄSKIE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2.9</c:v>
                </c:pt>
                <c:pt idx="1">
                  <c:v>3.5</c:v>
                </c:pt>
                <c:pt idx="2">
                  <c:v>4</c:v>
                </c:pt>
                <c:pt idx="3">
                  <c:v>4.0999999999999996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4.5999999999999996</c:v>
                </c:pt>
                <c:pt idx="7">
                  <c:v>5</c:v>
                </c:pt>
                <c:pt idx="8">
                  <c:v>5.3</c:v>
                </c:pt>
                <c:pt idx="9">
                  <c:v>5.7</c:v>
                </c:pt>
                <c:pt idx="10">
                  <c:v>6.6</c:v>
                </c:pt>
                <c:pt idx="11">
                  <c:v>6.8</c:v>
                </c:pt>
                <c:pt idx="12">
                  <c:v>7.1</c:v>
                </c:pt>
                <c:pt idx="13">
                  <c:v>7.2</c:v>
                </c:pt>
                <c:pt idx="14">
                  <c:v>7.4</c:v>
                </c:pt>
                <c:pt idx="15">
                  <c:v>8</c:v>
                </c:pt>
                <c:pt idx="1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6647640756234287"/>
          <c:y val="3.42331570409482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POLSKA</c:v>
                </c:pt>
                <c:pt idx="4">
                  <c:v>Powiat stalowowolski</c:v>
                </c:pt>
                <c:pt idx="5">
                  <c:v>Powiat mielecki</c:v>
                </c:pt>
                <c:pt idx="6">
                  <c:v>Powiat m.Tarnobrzeg</c:v>
                </c:pt>
                <c:pt idx="7">
                  <c:v>Powiat rzeszowski</c:v>
                </c:pt>
                <c:pt idx="8">
                  <c:v>Powiat tarnobrzeski</c:v>
                </c:pt>
                <c:pt idx="9">
                  <c:v>Powiat kolbuszowski</c:v>
                </c:pt>
                <c:pt idx="10">
                  <c:v>PODKARPACKIE</c:v>
                </c:pt>
                <c:pt idx="11">
                  <c:v>Powiat sanocki</c:v>
                </c:pt>
                <c:pt idx="12">
                  <c:v>Powiat krośnieński</c:v>
                </c:pt>
                <c:pt idx="13">
                  <c:v>Powiat łańcucki</c:v>
                </c:pt>
                <c:pt idx="14">
                  <c:v>Powiat lubaczowski</c:v>
                </c:pt>
                <c:pt idx="15">
                  <c:v>Powiat m.Przemyśl</c:v>
                </c:pt>
                <c:pt idx="16">
                  <c:v>Powiat ropczycko-sędziszowski</c:v>
                </c:pt>
                <c:pt idx="17">
                  <c:v>Powiat jarosławski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przemyski</c:v>
                </c:pt>
                <c:pt idx="22">
                  <c:v>Powiat bieszczadzki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2.9</c:v>
                </c:pt>
                <c:pt idx="1">
                  <c:v>4</c:v>
                </c:pt>
                <c:pt idx="2">
                  <c:v>4.3</c:v>
                </c:pt>
                <c:pt idx="3">
                  <c:v>5</c:v>
                </c:pt>
                <c:pt idx="4">
                  <c:v>5.0999999999999996</c:v>
                </c:pt>
                <c:pt idx="5">
                  <c:v>5.2</c:v>
                </c:pt>
                <c:pt idx="6">
                  <c:v>6.8</c:v>
                </c:pt>
                <c:pt idx="7">
                  <c:v>7.3</c:v>
                </c:pt>
                <c:pt idx="8">
                  <c:v>7.3</c:v>
                </c:pt>
                <c:pt idx="9">
                  <c:v>8</c:v>
                </c:pt>
                <c:pt idx="10">
                  <c:v>8.4</c:v>
                </c:pt>
                <c:pt idx="11">
                  <c:v>8.4</c:v>
                </c:pt>
                <c:pt idx="12">
                  <c:v>8.5</c:v>
                </c:pt>
                <c:pt idx="13">
                  <c:v>9.1</c:v>
                </c:pt>
                <c:pt idx="14">
                  <c:v>9.9</c:v>
                </c:pt>
                <c:pt idx="15">
                  <c:v>9.9</c:v>
                </c:pt>
                <c:pt idx="16">
                  <c:v>10.4</c:v>
                </c:pt>
                <c:pt idx="17">
                  <c:v>10.5</c:v>
                </c:pt>
                <c:pt idx="18">
                  <c:v>12.7</c:v>
                </c:pt>
                <c:pt idx="19">
                  <c:v>13.1</c:v>
                </c:pt>
                <c:pt idx="20">
                  <c:v>13.6</c:v>
                </c:pt>
                <c:pt idx="21">
                  <c:v>14.9</c:v>
                </c:pt>
                <c:pt idx="22">
                  <c:v>15.4</c:v>
                </c:pt>
                <c:pt idx="23">
                  <c:v>15.8</c:v>
                </c:pt>
                <c:pt idx="24">
                  <c:v>16.399999999999999</c:v>
                </c:pt>
                <c:pt idx="25">
                  <c:v>18.600000000000001</c:v>
                </c:pt>
                <c:pt idx="26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/>
            </a:pPr>
            <a:r>
              <a:rPr lang="pl-PL" sz="1000" b="0">
                <a:solidFill>
                  <a:srgbClr val="0000FF"/>
                </a:solidFill>
              </a:rPr>
              <a:t>Polska - województwo podkarpackie</a:t>
            </a:r>
            <a:r>
              <a:rPr lang="pl-PL" sz="1000" b="0"/>
              <a:t>, stopa bezrobocia</a:t>
            </a:r>
          </a:p>
          <a:p>
            <a:pPr algn="l">
              <a:defRPr sz="1000" b="0"/>
            </a:pPr>
            <a:r>
              <a:rPr lang="pl-PL" sz="1000" b="0"/>
              <a:t>stan na 31 stycznia danego roku</a:t>
            </a:r>
          </a:p>
          <a:p>
            <a:pPr algn="l">
              <a:defRPr sz="1000" b="0"/>
            </a:pPr>
            <a:r>
              <a:rPr lang="pl-PL" sz="1000" b="0"/>
              <a:t>Polska 1990-2024, Podkarpackie</a:t>
            </a:r>
            <a:r>
              <a:rPr lang="pl-PL" sz="1000" b="0" baseline="0"/>
              <a:t> 1998-2024</a:t>
            </a:r>
            <a:endParaRPr lang="pl-PL" sz="1000" b="0"/>
          </a:p>
        </c:rich>
      </c:tx>
      <c:layout>
        <c:manualLayout>
          <c:xMode val="edge"/>
          <c:yMode val="edge"/>
          <c:x val="0.47196164327243323"/>
          <c:y val="6.53233204197793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'34'!$L$2</c:f>
              <c:strCache>
                <c:ptCount val="1"/>
                <c:pt idx="0">
                  <c:v>Polska</c:v>
                </c:pt>
              </c:strCache>
            </c:strRef>
          </c:tx>
          <c:spPr>
            <a:ln w="19050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'34'!$L$3:$L$37</c:f>
              <c:numCache>
                <c:formatCode>General</c:formatCode>
                <c:ptCount val="35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  <c:pt idx="34">
                  <c:v>5.4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'34'!$M$3:$M$37</c:f>
              <c:numCache>
                <c:formatCode>General</c:formatCode>
                <c:ptCount val="35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 formatCode="0.0">
                  <c:v>14</c:v>
                </c:pt>
                <c:pt idx="20">
                  <c:v>16.7</c:v>
                </c:pt>
                <c:pt idx="21" formatCode="0.0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  <c:pt idx="3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244045188688464"/>
          <c:y val="0.71666523827317519"/>
          <c:w val="0.2703548294694626"/>
          <c:h val="0.11472113759543098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</a:t>
            </a:r>
            <a:r>
              <a:rPr lang="pl-PL" sz="900" b="0" baseline="0">
                <a:solidFill>
                  <a:srgbClr val="0000FF"/>
                </a:solidFill>
              </a:rPr>
              <a:t> - województwo podkarpackie</a:t>
            </a:r>
            <a:r>
              <a:rPr lang="pl-PL" sz="900" b="0" baseline="0"/>
              <a:t>, </a:t>
            </a:r>
            <a:r>
              <a:rPr lang="pl-PL" sz="900" b="0"/>
              <a:t>stopa bezrobocia</a:t>
            </a:r>
          </a:p>
          <a:p>
            <a:pPr algn="l">
              <a:defRPr sz="900" b="0"/>
            </a:pPr>
            <a:r>
              <a:rPr lang="pl-PL" sz="900" b="0"/>
              <a:t>stan na 31 grudnia danego roku</a:t>
            </a:r>
          </a:p>
        </c:rich>
      </c:tx>
      <c:layout>
        <c:manualLayout>
          <c:xMode val="edge"/>
          <c:yMode val="edge"/>
          <c:x val="0.51012402103474441"/>
          <c:y val="3.28029341223417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75000"/>
                  <a:alpha val="20000"/>
                </a:schemeClr>
              </a:solidFill>
              <a:prstDash val="sysDot"/>
            </a:ln>
          </c:spPr>
        </c:majorGridlines>
        <c:numFmt formatCode="m/d/yyyy" sourceLinked="0"/>
        <c:majorTickMark val="out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  <a:effectLst>
            <a:softEdge rad="88900"/>
          </a:effectLst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accent6">
                  <a:lumMod val="75000"/>
                  <a:alpha val="66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531849876875019"/>
          <c:y val="0.6939387394426112"/>
          <c:w val="0.29472975049768224"/>
          <c:h val="0.10768057665833407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pl-PL" sz="1100" b="0">
                <a:solidFill>
                  <a:srgbClr val="0000FF"/>
                </a:solidFill>
              </a:rPr>
              <a:t>Województwo podkarpackie</a:t>
            </a:r>
            <a:r>
              <a:rPr lang="pl-PL" sz="1100" b="0"/>
              <a:t>, liczba bezrobotnych</a:t>
            </a:r>
          </a:p>
          <a:p>
            <a:pPr algn="l">
              <a:defRPr sz="1100" b="0"/>
            </a:pPr>
            <a:r>
              <a:rPr lang="pl-PL" sz="1100" b="0"/>
              <a:t>[w tym kobiety, mężczyźni]  stan na 31 grudnia danego roku</a:t>
            </a:r>
          </a:p>
          <a:p>
            <a:pPr algn="l">
              <a:defRPr sz="1100" b="0"/>
            </a:pPr>
            <a:r>
              <a:rPr lang="pl-PL" sz="1100" b="0"/>
              <a:t>Podkarpacie</a:t>
            </a:r>
            <a:r>
              <a:rPr lang="pl-PL" sz="1100" b="0" baseline="0"/>
              <a:t> 1998-2024</a:t>
            </a:r>
            <a:endParaRPr lang="pl-PL" sz="1100" b="0"/>
          </a:p>
        </c:rich>
      </c:tx>
      <c:layout>
        <c:manualLayout>
          <c:xMode val="edge"/>
          <c:yMode val="edge"/>
          <c:x val="0.27043413841533875"/>
          <c:y val="1.4920112231980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156129015551E-2"/>
          <c:w val="0.90028379866274644"/>
          <c:h val="0.86215866191809398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25400" cmpd="sng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'34'!$F$2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'34'!$F$11:$F$36</c:f>
              <c:numCache>
                <c:formatCode>#,##0</c:formatCode>
                <c:ptCount val="26"/>
                <c:pt idx="0">
                  <c:v>77793</c:v>
                </c:pt>
                <c:pt idx="1">
                  <c:v>87827</c:v>
                </c:pt>
                <c:pt idx="2">
                  <c:v>97270</c:v>
                </c:pt>
                <c:pt idx="3">
                  <c:v>100472</c:v>
                </c:pt>
                <c:pt idx="4">
                  <c:v>93772</c:v>
                </c:pt>
                <c:pt idx="5">
                  <c:v>92598</c:v>
                </c:pt>
                <c:pt idx="6">
                  <c:v>88723</c:v>
                </c:pt>
                <c:pt idx="7">
                  <c:v>87626</c:v>
                </c:pt>
                <c:pt idx="8">
                  <c:v>81490</c:v>
                </c:pt>
                <c:pt idx="9">
                  <c:v>73127</c:v>
                </c:pt>
                <c:pt idx="10">
                  <c:v>64122</c:v>
                </c:pt>
                <c:pt idx="11">
                  <c:v>71158</c:v>
                </c:pt>
                <c:pt idx="12">
                  <c:v>73359</c:v>
                </c:pt>
                <c:pt idx="13">
                  <c:v>77403</c:v>
                </c:pt>
                <c:pt idx="14">
                  <c:v>77880</c:v>
                </c:pt>
                <c:pt idx="15">
                  <c:v>77415</c:v>
                </c:pt>
                <c:pt idx="16">
                  <c:v>70305</c:v>
                </c:pt>
                <c:pt idx="17">
                  <c:v>63579</c:v>
                </c:pt>
                <c:pt idx="18">
                  <c:v>56384</c:v>
                </c:pt>
                <c:pt idx="19">
                  <c:v>48619</c:v>
                </c:pt>
                <c:pt idx="20">
                  <c:v>45024</c:v>
                </c:pt>
                <c:pt idx="21">
                  <c:v>40284</c:v>
                </c:pt>
                <c:pt idx="22">
                  <c:v>46036</c:v>
                </c:pt>
                <c:pt idx="23">
                  <c:v>41090</c:v>
                </c:pt>
                <c:pt idx="24">
                  <c:v>36088</c:v>
                </c:pt>
                <c:pt idx="25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'34'!$G$2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'34'!$G$11:$G$36</c:f>
              <c:numCache>
                <c:formatCode>#,##0</c:formatCode>
                <c:ptCount val="26"/>
                <c:pt idx="0">
                  <c:v>59574</c:v>
                </c:pt>
                <c:pt idx="1">
                  <c:v>76865</c:v>
                </c:pt>
                <c:pt idx="2">
                  <c:v>84898</c:v>
                </c:pt>
                <c:pt idx="3">
                  <c:v>94701</c:v>
                </c:pt>
                <c:pt idx="4">
                  <c:v>93747</c:v>
                </c:pt>
                <c:pt idx="5">
                  <c:v>89899</c:v>
                </c:pt>
                <c:pt idx="6">
                  <c:v>81570</c:v>
                </c:pt>
                <c:pt idx="7">
                  <c:v>76330</c:v>
                </c:pt>
                <c:pt idx="8">
                  <c:v>63756</c:v>
                </c:pt>
                <c:pt idx="9">
                  <c:v>53233</c:v>
                </c:pt>
                <c:pt idx="10">
                  <c:v>51445</c:v>
                </c:pt>
                <c:pt idx="11">
                  <c:v>70786</c:v>
                </c:pt>
                <c:pt idx="12">
                  <c:v>68904</c:v>
                </c:pt>
                <c:pt idx="13">
                  <c:v>68805</c:v>
                </c:pt>
                <c:pt idx="14">
                  <c:v>75927</c:v>
                </c:pt>
                <c:pt idx="15">
                  <c:v>76801</c:v>
                </c:pt>
                <c:pt idx="16">
                  <c:v>67627</c:v>
                </c:pt>
                <c:pt idx="17">
                  <c:v>59935</c:v>
                </c:pt>
                <c:pt idx="18">
                  <c:v>51183</c:v>
                </c:pt>
                <c:pt idx="19">
                  <c:v>42353</c:v>
                </c:pt>
                <c:pt idx="20">
                  <c:v>37909</c:v>
                </c:pt>
                <c:pt idx="21">
                  <c:v>35171</c:v>
                </c:pt>
                <c:pt idx="22">
                  <c:v>41290</c:v>
                </c:pt>
                <c:pt idx="23">
                  <c:v>36201</c:v>
                </c:pt>
                <c:pt idx="24">
                  <c:v>32958</c:v>
                </c:pt>
                <c:pt idx="25">
                  <c:v>26563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9.0852828477554479E-2"/>
          <c:y val="0.71923554699321779"/>
          <c:w val="0.37221857898604577"/>
          <c:h val="0.1546241261450477"/>
        </c:manualLayout>
      </c:layout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Województwo </a:t>
            </a:r>
            <a:r>
              <a:rPr lang="en-US" sz="1200" b="0">
                <a:latin typeface="Arial" panose="020B0604020202020204" pitchFamily="34" charset="0"/>
                <a:cs typeface="Arial" panose="020B0604020202020204" pitchFamily="34" charset="0"/>
              </a:rPr>
              <a:t>podkarpackie</a:t>
            </a:r>
            <a:endParaRPr lang="pl-PL" sz="12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liczba bezrobotnych 1998-2024</a:t>
            </a:r>
            <a:endParaRPr lang="en-US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7410667771803169"/>
          <c:y val="1.70803381100000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7829542932841993"/>
        </c:manualLayout>
      </c:layout>
      <c:lineChart>
        <c:grouping val="standard"/>
        <c:varyColors val="0"/>
        <c:ser>
          <c:idx val="1"/>
          <c:order val="0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A-47E3-A260-6C0EB596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1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1615381967134314"/>
          <c:y val="0.5363212717454894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116413</xdr:colOff>
      <xdr:row>1</xdr:row>
      <xdr:rowOff>167745</xdr:rowOff>
    </xdr:from>
    <xdr:to>
      <xdr:col>19</xdr:col>
      <xdr:colOff>142873</xdr:colOff>
      <xdr:row>20</xdr:row>
      <xdr:rowOff>35717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21</xdr:col>
      <xdr:colOff>166687</xdr:colOff>
      <xdr:row>29</xdr:row>
      <xdr:rowOff>154781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285749</xdr:colOff>
      <xdr:row>1</xdr:row>
      <xdr:rowOff>114301</xdr:rowOff>
    </xdr:from>
    <xdr:to>
      <xdr:col>24</xdr:col>
      <xdr:colOff>297656</xdr:colOff>
      <xdr:row>25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14283</xdr:colOff>
      <xdr:row>24</xdr:row>
      <xdr:rowOff>83343</xdr:rowOff>
    </xdr:from>
    <xdr:to>
      <xdr:col>24</xdr:col>
      <xdr:colOff>476249</xdr:colOff>
      <xdr:row>43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273844</xdr:colOff>
      <xdr:row>1</xdr:row>
      <xdr:rowOff>142874</xdr:rowOff>
    </xdr:from>
    <xdr:to>
      <xdr:col>34</xdr:col>
      <xdr:colOff>500062</xdr:colOff>
      <xdr:row>24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25</xdr:row>
      <xdr:rowOff>85725</xdr:rowOff>
    </xdr:from>
    <xdr:to>
      <xdr:col>34</xdr:col>
      <xdr:colOff>352424</xdr:colOff>
      <xdr:row>44</xdr:row>
      <xdr:rowOff>107155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9EE7761-6259-45B3-84E5-8F150ACA6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H2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3.42578125" style="12" customWidth="1"/>
    <col min="9" max="16384" width="9.140625" style="2"/>
  </cols>
  <sheetData>
    <row r="1" spans="1:8" ht="15" customHeight="1" x14ac:dyDescent="0.2">
      <c r="B1" s="1" t="s">
        <v>46</v>
      </c>
    </row>
    <row r="2" spans="1:8" ht="71.25" x14ac:dyDescent="0.2">
      <c r="B2" s="36" t="s">
        <v>0</v>
      </c>
      <c r="C2" s="36" t="s">
        <v>138</v>
      </c>
      <c r="D2" s="37" t="s">
        <v>132</v>
      </c>
      <c r="E2" s="36" t="s">
        <v>44</v>
      </c>
      <c r="F2" s="37" t="s">
        <v>139</v>
      </c>
      <c r="G2" s="36" t="s">
        <v>48</v>
      </c>
    </row>
    <row r="3" spans="1:8" ht="15" x14ac:dyDescent="0.2">
      <c r="A3" s="12">
        <v>1</v>
      </c>
      <c r="B3" s="13" t="s">
        <v>1</v>
      </c>
      <c r="C3" s="60">
        <v>5</v>
      </c>
      <c r="D3" s="39">
        <v>4.9000000000000004</v>
      </c>
      <c r="E3" s="14">
        <f>C3-D3</f>
        <v>9.9999999999999645E-2</v>
      </c>
      <c r="F3" s="39">
        <v>5</v>
      </c>
      <c r="G3" s="14">
        <f>C3-F3</f>
        <v>0</v>
      </c>
      <c r="H3" s="15"/>
    </row>
    <row r="4" spans="1:8" x14ac:dyDescent="0.2">
      <c r="A4" s="12">
        <v>2</v>
      </c>
      <c r="B4" s="16" t="s">
        <v>2</v>
      </c>
      <c r="C4" s="58">
        <v>4.5999999999999996</v>
      </c>
      <c r="D4" s="38">
        <v>4.5</v>
      </c>
      <c r="E4" s="17">
        <f t="shared" ref="E4:E19" si="0">C4-D4</f>
        <v>9.9999999999999645E-2</v>
      </c>
      <c r="F4" s="38">
        <v>4.4000000000000004</v>
      </c>
      <c r="G4" s="17">
        <f t="shared" ref="G4:G19" si="1">C4-F4</f>
        <v>0.19999999999999929</v>
      </c>
      <c r="H4" s="15"/>
    </row>
    <row r="5" spans="1:8" x14ac:dyDescent="0.2">
      <c r="A5" s="12">
        <v>3</v>
      </c>
      <c r="B5" s="16" t="s">
        <v>3</v>
      </c>
      <c r="C5" s="17">
        <v>7.1</v>
      </c>
      <c r="D5" s="38">
        <v>7</v>
      </c>
      <c r="E5" s="18">
        <f t="shared" si="0"/>
        <v>9.9999999999999645E-2</v>
      </c>
      <c r="F5" s="38">
        <v>6.9</v>
      </c>
      <c r="G5" s="17">
        <f t="shared" si="1"/>
        <v>0.19999999999999929</v>
      </c>
      <c r="H5" s="15"/>
    </row>
    <row r="6" spans="1:8" x14ac:dyDescent="0.2">
      <c r="A6" s="12">
        <v>4</v>
      </c>
      <c r="B6" s="16" t="s">
        <v>4</v>
      </c>
      <c r="C6" s="18">
        <v>7.2</v>
      </c>
      <c r="D6" s="38">
        <v>7.1</v>
      </c>
      <c r="E6" s="17">
        <f t="shared" si="0"/>
        <v>0.10000000000000053</v>
      </c>
      <c r="F6" s="38">
        <v>7.3</v>
      </c>
      <c r="G6" s="17">
        <f t="shared" si="1"/>
        <v>-9.9999999999999645E-2</v>
      </c>
      <c r="H6" s="15"/>
    </row>
    <row r="7" spans="1:8" x14ac:dyDescent="0.2">
      <c r="A7" s="12">
        <v>5</v>
      </c>
      <c r="B7" s="16" t="s">
        <v>5</v>
      </c>
      <c r="C7" s="17">
        <v>4.4000000000000004</v>
      </c>
      <c r="D7" s="38">
        <v>4.3</v>
      </c>
      <c r="E7" s="17">
        <f t="shared" si="0"/>
        <v>0.10000000000000053</v>
      </c>
      <c r="F7" s="38">
        <v>4.3</v>
      </c>
      <c r="G7" s="17">
        <f t="shared" si="1"/>
        <v>0.10000000000000053</v>
      </c>
      <c r="H7" s="15"/>
    </row>
    <row r="8" spans="1:8" x14ac:dyDescent="0.2">
      <c r="A8" s="12">
        <v>6</v>
      </c>
      <c r="B8" s="16" t="s">
        <v>6</v>
      </c>
      <c r="C8" s="17">
        <v>5.3</v>
      </c>
      <c r="D8" s="38">
        <v>5.3</v>
      </c>
      <c r="E8" s="17">
        <f t="shared" si="0"/>
        <v>0</v>
      </c>
      <c r="F8" s="38">
        <v>5.3</v>
      </c>
      <c r="G8" s="17">
        <f t="shared" si="1"/>
        <v>0</v>
      </c>
      <c r="H8" s="15"/>
    </row>
    <row r="9" spans="1:8" x14ac:dyDescent="0.2">
      <c r="A9" s="12">
        <v>7</v>
      </c>
      <c r="B9" s="16" t="s">
        <v>7</v>
      </c>
      <c r="C9" s="17">
        <v>4.0999999999999996</v>
      </c>
      <c r="D9" s="38">
        <v>4.0999999999999996</v>
      </c>
      <c r="E9" s="17">
        <f t="shared" si="0"/>
        <v>0</v>
      </c>
      <c r="F9" s="38">
        <v>4.0999999999999996</v>
      </c>
      <c r="G9" s="17">
        <f t="shared" si="1"/>
        <v>0</v>
      </c>
      <c r="H9" s="15"/>
    </row>
    <row r="10" spans="1:8" x14ac:dyDescent="0.2">
      <c r="A10" s="12">
        <v>8</v>
      </c>
      <c r="B10" s="16" t="s">
        <v>8</v>
      </c>
      <c r="C10" s="17">
        <v>4</v>
      </c>
      <c r="D10" s="38">
        <v>4</v>
      </c>
      <c r="E10" s="17">
        <f t="shared" si="0"/>
        <v>0</v>
      </c>
      <c r="F10" s="38">
        <v>4.0999999999999996</v>
      </c>
      <c r="G10" s="17">
        <f t="shared" si="1"/>
        <v>-9.9999999999999645E-2</v>
      </c>
      <c r="H10" s="15"/>
    </row>
    <row r="11" spans="1:8" x14ac:dyDescent="0.2">
      <c r="A11" s="12">
        <v>9</v>
      </c>
      <c r="B11" s="16" t="s">
        <v>9</v>
      </c>
      <c r="C11" s="17">
        <v>5.7</v>
      </c>
      <c r="D11" s="38">
        <v>5.7</v>
      </c>
      <c r="E11" s="17">
        <f t="shared" si="0"/>
        <v>0</v>
      </c>
      <c r="F11" s="38">
        <v>5.6</v>
      </c>
      <c r="G11" s="17">
        <f t="shared" si="1"/>
        <v>0.10000000000000053</v>
      </c>
      <c r="H11" s="15"/>
    </row>
    <row r="12" spans="1:8" ht="15" x14ac:dyDescent="0.2">
      <c r="A12" s="12">
        <v>10</v>
      </c>
      <c r="B12" s="13" t="s">
        <v>10</v>
      </c>
      <c r="C12" s="59">
        <v>8.4</v>
      </c>
      <c r="D12" s="39">
        <v>8.3000000000000007</v>
      </c>
      <c r="E12" s="14">
        <f>C12-D12</f>
        <v>9.9999999999999645E-2</v>
      </c>
      <c r="F12" s="39">
        <v>8.4</v>
      </c>
      <c r="G12" s="14">
        <f>C12-F12</f>
        <v>0</v>
      </c>
      <c r="H12" s="15"/>
    </row>
    <row r="13" spans="1:8" x14ac:dyDescent="0.2">
      <c r="A13" s="12">
        <v>11</v>
      </c>
      <c r="B13" s="16" t="s">
        <v>11</v>
      </c>
      <c r="C13" s="58">
        <v>6.8</v>
      </c>
      <c r="D13" s="38">
        <v>6.8</v>
      </c>
      <c r="E13" s="17">
        <f t="shared" si="0"/>
        <v>0</v>
      </c>
      <c r="F13" s="38">
        <v>6.8</v>
      </c>
      <c r="G13" s="17">
        <f t="shared" si="1"/>
        <v>0</v>
      </c>
      <c r="H13" s="15"/>
    </row>
    <row r="14" spans="1:8" x14ac:dyDescent="0.2">
      <c r="A14" s="12">
        <v>12</v>
      </c>
      <c r="B14" s="16" t="s">
        <v>12</v>
      </c>
      <c r="C14" s="17">
        <v>4.5999999999999996</v>
      </c>
      <c r="D14" s="38">
        <v>4.5</v>
      </c>
      <c r="E14" s="17">
        <f t="shared" si="0"/>
        <v>9.9999999999999645E-2</v>
      </c>
      <c r="F14" s="38">
        <v>4.5999999999999996</v>
      </c>
      <c r="G14" s="17">
        <f t="shared" si="1"/>
        <v>0</v>
      </c>
      <c r="H14" s="15"/>
    </row>
    <row r="15" spans="1:8" x14ac:dyDescent="0.2">
      <c r="A15" s="12">
        <v>13</v>
      </c>
      <c r="B15" s="16" t="s">
        <v>13</v>
      </c>
      <c r="C15" s="17">
        <v>3.5</v>
      </c>
      <c r="D15" s="38">
        <v>3.5</v>
      </c>
      <c r="E15" s="17">
        <f t="shared" si="0"/>
        <v>0</v>
      </c>
      <c r="F15" s="38">
        <v>3.5</v>
      </c>
      <c r="G15" s="17">
        <f t="shared" si="1"/>
        <v>0</v>
      </c>
      <c r="H15" s="15"/>
    </row>
    <row r="16" spans="1:8" x14ac:dyDescent="0.2">
      <c r="A16" s="12">
        <v>14</v>
      </c>
      <c r="B16" s="16" t="s">
        <v>14</v>
      </c>
      <c r="C16" s="17">
        <v>7.4</v>
      </c>
      <c r="D16" s="38">
        <v>7.3</v>
      </c>
      <c r="E16" s="17">
        <f t="shared" si="0"/>
        <v>0.10000000000000053</v>
      </c>
      <c r="F16" s="38">
        <v>7.5</v>
      </c>
      <c r="G16" s="17">
        <f t="shared" si="1"/>
        <v>-9.9999999999999645E-2</v>
      </c>
      <c r="H16" s="15"/>
    </row>
    <row r="17" spans="1:8" x14ac:dyDescent="0.2">
      <c r="A17" s="12">
        <v>15</v>
      </c>
      <c r="B17" s="16" t="s">
        <v>15</v>
      </c>
      <c r="C17" s="17">
        <v>8</v>
      </c>
      <c r="D17" s="38">
        <v>7.9</v>
      </c>
      <c r="E17" s="17">
        <f t="shared" si="0"/>
        <v>9.9999999999999645E-2</v>
      </c>
      <c r="F17" s="38">
        <v>8</v>
      </c>
      <c r="G17" s="17">
        <f t="shared" si="1"/>
        <v>0</v>
      </c>
      <c r="H17" s="15"/>
    </row>
    <row r="18" spans="1:8" x14ac:dyDescent="0.2">
      <c r="A18" s="12">
        <v>16</v>
      </c>
      <c r="B18" s="16" t="s">
        <v>16</v>
      </c>
      <c r="C18" s="17">
        <v>2.9</v>
      </c>
      <c r="D18" s="38">
        <v>2.9</v>
      </c>
      <c r="E18" s="17">
        <f t="shared" si="0"/>
        <v>0</v>
      </c>
      <c r="F18" s="38">
        <v>2.9</v>
      </c>
      <c r="G18" s="17">
        <f t="shared" si="1"/>
        <v>0</v>
      </c>
      <c r="H18" s="15"/>
    </row>
    <row r="19" spans="1:8" x14ac:dyDescent="0.2">
      <c r="A19" s="12">
        <v>17</v>
      </c>
      <c r="B19" s="16" t="s">
        <v>17</v>
      </c>
      <c r="C19" s="17">
        <v>6.6</v>
      </c>
      <c r="D19" s="38">
        <v>6.6</v>
      </c>
      <c r="E19" s="17">
        <f t="shared" si="0"/>
        <v>0</v>
      </c>
      <c r="F19" s="38">
        <v>6.6</v>
      </c>
      <c r="G19" s="17">
        <f t="shared" si="1"/>
        <v>0</v>
      </c>
      <c r="H19" s="15"/>
    </row>
    <row r="20" spans="1:8" ht="12.75" customHeight="1" x14ac:dyDescent="0.2">
      <c r="B20" s="30" t="s">
        <v>50</v>
      </c>
    </row>
    <row r="21" spans="1:8" ht="13.5" customHeight="1" x14ac:dyDescent="0.2">
      <c r="B21" s="47"/>
    </row>
    <row r="22" spans="1:8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30-11-'24 r. (w proc.)*</v>
      </c>
      <c r="E3" s="32" t="str">
        <f>T('1s.bezr.Pol'!D2)</f>
        <v>Stopa bezrobocia stan na 31-10-'24 r. (w proc.)*</v>
      </c>
      <c r="F3" s="37" t="str">
        <f>T('1s.bezr.Pol'!E2)</f>
        <v>wzrost lub spadek do poprzedniego miesiąca (pkt. proc.)</v>
      </c>
      <c r="G3" s="49" t="str">
        <f>T('1s.bezr.Pol'!F2)</f>
        <v>Stopa bezrobocia stan na 30-11-'23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2.9</v>
      </c>
      <c r="E4" s="18">
        <f>INDEX('1s.bezr.Pol'!B3:G19,MATCH(1,B4:B20,0),3)</f>
        <v>2.9</v>
      </c>
      <c r="F4" s="38">
        <f>INDEX('1s.bezr.Pol'!B3:G19,MATCH(1,B4:B20,0),4)</f>
        <v>0</v>
      </c>
      <c r="G4" s="18">
        <f>INDEX('1s.bezr.Pol'!B3:G19,MATCH(1,B4:B20,0),5)</f>
        <v>2.9</v>
      </c>
      <c r="H4" s="38">
        <f>INDEX('1s.bezr.Pol'!B3:G19,MATCH(1,B4:B20,0),6)</f>
        <v>0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6</v>
      </c>
      <c r="C5" s="3" t="str">
        <f>INDEX('1s.bezr.Pol'!B3:G19,MATCH(2,B4:B20,0),1)</f>
        <v>ŚLĄSKIE</v>
      </c>
      <c r="D5" s="5">
        <f>INDEX('1s.bezr.Pol'!B3:G19,MATCH(2,B4:B20,0),2)</f>
        <v>3.5</v>
      </c>
      <c r="E5" s="18">
        <f>INDEX('1s.bezr.Pol'!B3:G19,MATCH(2,B4:B20,0),3)</f>
        <v>3.5</v>
      </c>
      <c r="F5" s="38">
        <f>INDEX('1s.bezr.Pol'!B3:G19,MATCH(2,B4:B20,0),4)</f>
        <v>0</v>
      </c>
      <c r="G5" s="18">
        <f>INDEX('1s.bezr.Pol'!B3:G19,MATCH(2,B4:B20,0),5)</f>
        <v>3.5</v>
      </c>
      <c r="H5" s="38">
        <f>INDEX('1s.bezr.Pol'!B3:G19,MATCH(2,B4:B20,0),6)</f>
        <v>0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MAZOWIECKIE</v>
      </c>
      <c r="D6" s="5">
        <f>INDEX('1s.bezr.Pol'!B3:G19,MATCH(3,B4:B20,0),2)</f>
        <v>4</v>
      </c>
      <c r="E6" s="18">
        <f>INDEX('1s.bezr.Pol'!B3:G19,MATCH(3,B4:B20,0),3)</f>
        <v>4</v>
      </c>
      <c r="F6" s="38">
        <f>INDEX('1s.bezr.Pol'!B3:G19,MATCH(3,B4:B20,0),4)</f>
        <v>0</v>
      </c>
      <c r="G6" s="18">
        <f>INDEX('1s.bezr.Pol'!B3:G19,MATCH(3,B4:B20,0),5)</f>
        <v>4.0999999999999996</v>
      </c>
      <c r="H6" s="38">
        <f>INDEX('1s.bezr.Pol'!B3:G19,MATCH(3,B4:B20,0),6)</f>
        <v>-9.9999999999999645E-2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MAŁOPOLSKIE</v>
      </c>
      <c r="D7" s="5">
        <f>INDEX('1s.bezr.Pol'!B3:G19,MATCH(4,B4:B20,0),2)</f>
        <v>4.0999999999999996</v>
      </c>
      <c r="E7" s="18">
        <f>INDEX('1s.bezr.Pol'!B3:G19,MATCH(4,B4:B20,0),3)</f>
        <v>4.0999999999999996</v>
      </c>
      <c r="F7" s="38">
        <f>INDEX('1s.bezr.Pol'!B3:G19,MATCH(4,B4:B20,0),4)</f>
        <v>0</v>
      </c>
      <c r="G7" s="18">
        <f>INDEX('1s.bezr.Pol'!B3:G19,MATCH(4,B4:B20,0),5)</f>
        <v>4.0999999999999996</v>
      </c>
      <c r="H7" s="38">
        <f>INDEX('1s.bezr.Pol'!B3:G19,MATCH(4,B4:B20,0),6)</f>
        <v>0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5</v>
      </c>
      <c r="C8" s="3" t="str">
        <f>INDEX('1s.bezr.Pol'!B3:G19,MATCH(5,B4:B20,0),1)</f>
        <v>LUBUSKIE</v>
      </c>
      <c r="D8" s="5">
        <f>INDEX('1s.bezr.Pol'!B3:G19,MATCH(5,B4:B20,0),2)</f>
        <v>4.4000000000000004</v>
      </c>
      <c r="E8" s="18">
        <f>INDEX('1s.bezr.Pol'!B3:G19,MATCH(5,B4:B20,0),3)</f>
        <v>4.3</v>
      </c>
      <c r="F8" s="38">
        <f>INDEX('1s.bezr.Pol'!B3:G19,MATCH(5,B4:B20,0),4)</f>
        <v>0.10000000000000053</v>
      </c>
      <c r="G8" s="18">
        <f>INDEX('1s.bezr.Pol'!B3:G19,MATCH(5,B4:B20,0),5)</f>
        <v>4.3</v>
      </c>
      <c r="H8" s="38">
        <f>INDEX('1s.bezr.Pol'!B3:G19,MATCH(5,B4:B20,0),6)</f>
        <v>0.10000000000000053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DOLNOŚLĄSKIE</v>
      </c>
      <c r="D9" s="5">
        <f>INDEX('1s.bezr.Pol'!B3:G19,MATCH(6,B4:B20,0),2)</f>
        <v>4.5999999999999996</v>
      </c>
      <c r="E9" s="18">
        <f>INDEX('1s.bezr.Pol'!B3:G19,MATCH(6,B4:B20,0),3)</f>
        <v>4.5</v>
      </c>
      <c r="F9" s="38">
        <f>INDEX('1s.bezr.Pol'!B3:G19,MATCH(6,B4:B20,0),4)</f>
        <v>9.9999999999999645E-2</v>
      </c>
      <c r="G9" s="18">
        <f>INDEX('1s.bezr.Pol'!B3:G19,MATCH(6,B4:B20,0),5)</f>
        <v>4.4000000000000004</v>
      </c>
      <c r="H9" s="38">
        <f>INDEX('1s.bezr.Pol'!B3:G19,MATCH(6,B4:B20,0),6)</f>
        <v>0.19999999999999929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4</v>
      </c>
      <c r="C10" s="6" t="str">
        <f>INDEX('1s.bezr.Pol'!B3:G19,MATCH(7,B4:B20,0),1)</f>
        <v>POMORSKIE</v>
      </c>
      <c r="D10" s="5">
        <f>INDEX('1s.bezr.Pol'!B3:G19,MATCH(7,B4:B20,0),2)</f>
        <v>4.5999999999999996</v>
      </c>
      <c r="E10" s="18">
        <f>INDEX('1s.bezr.Pol'!B3:G19,MATCH(7,B4:B20,0),3)</f>
        <v>4.5</v>
      </c>
      <c r="F10" s="38">
        <f>INDEX('1s.bezr.Pol'!B3:G19,MATCH(7,B4:B20,0),4)</f>
        <v>9.9999999999999645E-2</v>
      </c>
      <c r="G10" s="18">
        <f>INDEX('1s.bezr.Pol'!B3:G19,MATCH(7,B4:B20,0),5)</f>
        <v>4.5999999999999996</v>
      </c>
      <c r="H10" s="38">
        <f>INDEX('1s.bezr.Pol'!B3:G19,MATCH(7,B4:B20,0),6)</f>
        <v>0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3</v>
      </c>
      <c r="C11" s="28" t="str">
        <f>INDEX('1s.bezr.Pol'!B3:G19,MATCH(8,B4:B20,0),1)</f>
        <v>POLSKA</v>
      </c>
      <c r="D11" s="21">
        <f>INDEX('1s.bezr.Pol'!B3:G19,MATCH(8,B4:B20,0),2)</f>
        <v>5</v>
      </c>
      <c r="E11" s="29">
        <f>INDEX('1s.bezr.Pol'!B3:G19,MATCH(8,B4:B20,0),3)</f>
        <v>4.9000000000000004</v>
      </c>
      <c r="F11" s="39">
        <f>INDEX('1s.bezr.Pol'!B3:G19,MATCH(8,B4:B20,0),4)</f>
        <v>9.9999999999999645E-2</v>
      </c>
      <c r="G11" s="29">
        <f>INDEX('1s.bezr.Pol'!B3:G19,MATCH(8,B4:B20,0),5)</f>
        <v>5</v>
      </c>
      <c r="H11" s="39">
        <f>INDEX('1s.bezr.Pol'!B3:G19,MATCH(8,B4:B20,0),6)</f>
        <v>0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5.3</v>
      </c>
      <c r="E12" s="18">
        <f>INDEX('1s.bezr.Pol'!B3:G19,MATCH(9,B4:B20,0),3)</f>
        <v>5.3</v>
      </c>
      <c r="F12" s="38">
        <f>INDEX('1s.bezr.Pol'!B3:G19,MATCH(9,B4:B20,0),4)</f>
        <v>0</v>
      </c>
      <c r="G12" s="18">
        <f>INDEX('1s.bezr.Pol'!B3:G19,MATCH(9,B4:B20,0),5)</f>
        <v>5.3</v>
      </c>
      <c r="H12" s="38">
        <f>INDEX('1s.bezr.Pol'!B3:G19,MATCH(9,B4:B20,0),6)</f>
        <v>0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5.7</v>
      </c>
      <c r="E13" s="18">
        <f>INDEX('1s.bezr.Pol'!B3:G19,MATCH(10,B4:B20,0),3)</f>
        <v>5.7</v>
      </c>
      <c r="F13" s="38">
        <f>INDEX('1s.bezr.Pol'!B3:G19,MATCH(10,B4:B20,0),4)</f>
        <v>0</v>
      </c>
      <c r="G13" s="18">
        <f>INDEX('1s.bezr.Pol'!B3:G19,MATCH(10,B4:B20,0),5)</f>
        <v>5.6</v>
      </c>
      <c r="H13" s="38">
        <f>INDEX('1s.bezr.Pol'!B3:G19,MATCH(10,B4:B20,0),6)</f>
        <v>0.10000000000000053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12</v>
      </c>
      <c r="C14" s="3" t="str">
        <f>INDEX('1s.bezr.Pol'!B3:G19,MATCH(11,B4:B20,0),1)</f>
        <v>ZACHODNIOPOMORSKIE</v>
      </c>
      <c r="D14" s="5">
        <f>INDEX('1s.bezr.Pol'!B3:G19,MATCH(11,B4:B20,0),2)</f>
        <v>6.6</v>
      </c>
      <c r="E14" s="18">
        <f>INDEX('1s.bezr.Pol'!B3:G19,MATCH(11,B4:B20,0),3)</f>
        <v>6.6</v>
      </c>
      <c r="F14" s="38">
        <f>INDEX('1s.bezr.Pol'!B3:G19,MATCH(11,B4:B20,0),4)</f>
        <v>0</v>
      </c>
      <c r="G14" s="18">
        <f>INDEX('1s.bezr.Pol'!B3:G19,MATCH(11,B4:B20,0),5)</f>
        <v>6.6</v>
      </c>
      <c r="H14" s="38">
        <f>INDEX('1s.bezr.Pol'!B3:G19,MATCH(11,B4:B20,0),6)</f>
        <v>0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7</v>
      </c>
      <c r="C15" s="3" t="str">
        <f>INDEX('1s.bezr.Pol'!B3:G19,MATCH(12,B4:B20,0),1)</f>
        <v>PODLASKIE</v>
      </c>
      <c r="D15" s="5">
        <f>INDEX('1s.bezr.Pol'!B3:G19,MATCH(12,B4:B20,0),2)</f>
        <v>6.8</v>
      </c>
      <c r="E15" s="18">
        <f>INDEX('1s.bezr.Pol'!B3:G19,MATCH(12,B4:B20,0),3)</f>
        <v>6.8</v>
      </c>
      <c r="F15" s="38">
        <f>INDEX('1s.bezr.Pol'!B3:G19,MATCH(12,B4:B20,0),4)</f>
        <v>0</v>
      </c>
      <c r="G15" s="18">
        <f>INDEX('1s.bezr.Pol'!B3:G19,MATCH(12,B4:B20,0),5)</f>
        <v>6.8</v>
      </c>
      <c r="H15" s="38">
        <f>INDEX('1s.bezr.Pol'!B3:G19,MATCH(12,B4:B20,0),6)</f>
        <v>0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7.1</v>
      </c>
      <c r="E16" s="18">
        <f>INDEX('1s.bezr.Pol'!B3:G19,MATCH(13,B4:B20,0),3)</f>
        <v>7</v>
      </c>
      <c r="F16" s="38">
        <f>INDEX('1s.bezr.Pol'!B3:G19,MATCH(13,B4:B20,0),4)</f>
        <v>9.9999999999999645E-2</v>
      </c>
      <c r="G16" s="18">
        <f>INDEX('1s.bezr.Pol'!B3:G19,MATCH(13,B4:B20,0),5)</f>
        <v>6.9</v>
      </c>
      <c r="H16" s="38">
        <f>INDEX('1s.bezr.Pol'!B3:G19,MATCH(13,B4:B20,0),6)</f>
        <v>0.19999999999999929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7.2</v>
      </c>
      <c r="E17" s="18">
        <f>INDEX('1s.bezr.Pol'!B3:G19,MATCH(14,B4:B20,0),3)</f>
        <v>7.1</v>
      </c>
      <c r="F17" s="38">
        <f>INDEX('1s.bezr.Pol'!B3:G19,MATCH(14,B4:B20,0),4)</f>
        <v>0.10000000000000053</v>
      </c>
      <c r="G17" s="18">
        <f>INDEX('1s.bezr.Pol'!B3:G19,MATCH(14,B4:B20,0),5)</f>
        <v>7.3</v>
      </c>
      <c r="H17" s="38">
        <f>INDEX('1s.bezr.Pol'!B3:G19,MATCH(14,B4:B20,0),6)</f>
        <v>-9.9999999999999645E-2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7.4</v>
      </c>
      <c r="E18" s="18">
        <f>INDEX('1s.bezr.Pol'!B3:G19,MATCH(15,B4:B20,0),3)</f>
        <v>7.3</v>
      </c>
      <c r="F18" s="38">
        <f>INDEX('1s.bezr.Pol'!B3:G19,MATCH(15,B4:B20,0),4)</f>
        <v>0.10000000000000053</v>
      </c>
      <c r="G18" s="18">
        <f>INDEX('1s.bezr.Pol'!B3:G19,MATCH(15,B4:B20,0),5)</f>
        <v>7.5</v>
      </c>
      <c r="H18" s="38">
        <f>INDEX('1s.bezr.Pol'!B3:G19,MATCH(15,B4:B20,0),6)</f>
        <v>-9.9999999999999645E-2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8</v>
      </c>
      <c r="E19" s="18">
        <f>INDEX('1s.bezr.Pol'!B3:G19,MATCH(16,B4:B20,0),3)</f>
        <v>7.9</v>
      </c>
      <c r="F19" s="38">
        <f>INDEX('1s.bezr.Pol'!B3:G19,MATCH(16,B4:B20,0),4)</f>
        <v>9.9999999999999645E-2</v>
      </c>
      <c r="G19" s="18">
        <f>INDEX('1s.bezr.Pol'!B3:G19,MATCH(16,B4:B20,0),5)</f>
        <v>8</v>
      </c>
      <c r="H19" s="38">
        <f>INDEX('1s.bezr.Pol'!B3:G19,MATCH(16,B4:B20,0),6)</f>
        <v>0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11</v>
      </c>
      <c r="C20" s="6" t="str">
        <f>INDEX('1s.bezr.Pol'!B3:G19,MATCH(17,B4:B20,0),1)</f>
        <v>PODKARPACKIE</v>
      </c>
      <c r="D20" s="5">
        <f>INDEX('1s.bezr.Pol'!B3:G19,MATCH(17,B4:B20,0),2)</f>
        <v>8.4</v>
      </c>
      <c r="E20" s="18">
        <f>INDEX('1s.bezr.Pol'!B3:G19,MATCH(17,B4:B20,0),3)</f>
        <v>8.3000000000000007</v>
      </c>
      <c r="F20" s="38">
        <f>INDEX('1s.bezr.Pol'!B3:G19,MATCH(17,B4:B20,0),4)</f>
        <v>9.9999999999999645E-2</v>
      </c>
      <c r="G20" s="18">
        <f>INDEX('1s.bezr.Pol'!B3:G19,MATCH(17,B4:B20,0),5)</f>
        <v>8.4</v>
      </c>
      <c r="H20" s="38">
        <f>INDEX('1s.bezr.Pol'!B3:G19,MATCH(17,B4:B20,0),6)</f>
        <v>0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6.85546875" style="2" customWidth="1"/>
    <col min="7" max="7" width="17.140625" style="2" customWidth="1"/>
    <col min="8" max="8" width="4" style="2" customWidth="1"/>
    <col min="9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136</v>
      </c>
      <c r="D2" s="34" t="s">
        <v>137</v>
      </c>
      <c r="E2" s="33" t="s">
        <v>43</v>
      </c>
      <c r="F2" s="34" t="s">
        <v>135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</v>
      </c>
      <c r="D3" s="42">
        <v>4.9000000000000004</v>
      </c>
      <c r="E3" s="43">
        <f>($C$3)-$D$3</f>
        <v>9.9999999999999645E-2</v>
      </c>
      <c r="F3" s="42">
        <v>5</v>
      </c>
      <c r="G3" s="41">
        <f>($C$3)-$F$3</f>
        <v>0</v>
      </c>
      <c r="H3" s="12"/>
    </row>
    <row r="4" spans="1:8" ht="15" x14ac:dyDescent="0.25">
      <c r="A4" s="12">
        <v>2</v>
      </c>
      <c r="B4" s="44" t="s">
        <v>10</v>
      </c>
      <c r="C4" s="45">
        <v>8.4</v>
      </c>
      <c r="D4" s="42">
        <v>8.3000000000000007</v>
      </c>
      <c r="E4" s="45">
        <f>($C$4)-$D$4</f>
        <v>9.9999999999999645E-2</v>
      </c>
      <c r="F4" s="42">
        <v>8.4</v>
      </c>
      <c r="G4" s="45">
        <f>($C$4)-$F$4</f>
        <v>0</v>
      </c>
      <c r="H4" s="12"/>
    </row>
    <row r="5" spans="1:8" x14ac:dyDescent="0.2">
      <c r="A5" s="12">
        <v>3</v>
      </c>
      <c r="B5" s="16" t="s">
        <v>18</v>
      </c>
      <c r="C5" s="17">
        <v>15.4</v>
      </c>
      <c r="D5" s="46">
        <v>15.1</v>
      </c>
      <c r="E5" s="5">
        <f>($C$5)-$D$5</f>
        <v>0.30000000000000071</v>
      </c>
      <c r="F5" s="46">
        <v>14.8</v>
      </c>
      <c r="G5" s="5">
        <f>($C$5)-$F$5</f>
        <v>0.59999999999999964</v>
      </c>
      <c r="H5" s="12"/>
    </row>
    <row r="6" spans="1:8" x14ac:dyDescent="0.2">
      <c r="A6" s="12">
        <v>4</v>
      </c>
      <c r="B6" s="16" t="s">
        <v>19</v>
      </c>
      <c r="C6" s="17">
        <v>20.2</v>
      </c>
      <c r="D6" s="46">
        <v>19.600000000000001</v>
      </c>
      <c r="E6" s="5">
        <f>($C$6)-$D$6</f>
        <v>0.59999999999999787</v>
      </c>
      <c r="F6" s="46">
        <v>20.3</v>
      </c>
      <c r="G6" s="5">
        <f>($C$6)-$F$6</f>
        <v>-0.10000000000000142</v>
      </c>
      <c r="H6" s="12"/>
    </row>
    <row r="7" spans="1:8" x14ac:dyDescent="0.2">
      <c r="A7" s="12">
        <v>5</v>
      </c>
      <c r="B7" s="16" t="s">
        <v>20</v>
      </c>
      <c r="C7" s="17">
        <v>4.3</v>
      </c>
      <c r="D7" s="46">
        <v>4.4000000000000004</v>
      </c>
      <c r="E7" s="5">
        <f>($C$7)-$D$7</f>
        <v>-0.10000000000000053</v>
      </c>
      <c r="F7" s="46">
        <v>4.5999999999999996</v>
      </c>
      <c r="G7" s="5">
        <f>($C$7)-$F$7</f>
        <v>-0.29999999999999982</v>
      </c>
      <c r="H7" s="12"/>
    </row>
    <row r="8" spans="1:8" x14ac:dyDescent="0.2">
      <c r="A8" s="12">
        <v>6</v>
      </c>
      <c r="B8" s="16" t="s">
        <v>21</v>
      </c>
      <c r="C8" s="17">
        <v>10.5</v>
      </c>
      <c r="D8" s="46">
        <v>10.5</v>
      </c>
      <c r="E8" s="5">
        <f>($C$8)-$D$8</f>
        <v>0</v>
      </c>
      <c r="F8" s="46">
        <v>10.3</v>
      </c>
      <c r="G8" s="5">
        <f>($C$8)-$F$8</f>
        <v>0.19999999999999929</v>
      </c>
      <c r="H8" s="12"/>
    </row>
    <row r="9" spans="1:8" x14ac:dyDescent="0.2">
      <c r="A9" s="12">
        <v>7</v>
      </c>
      <c r="B9" s="16" t="s">
        <v>22</v>
      </c>
      <c r="C9" s="17">
        <v>12.7</v>
      </c>
      <c r="D9" s="46">
        <v>12.4</v>
      </c>
      <c r="E9" s="5">
        <f>($C$9)-$D$9</f>
        <v>0.29999999999999893</v>
      </c>
      <c r="F9" s="46">
        <v>12.9</v>
      </c>
      <c r="G9" s="5">
        <f>($C$9)-$F$9</f>
        <v>-0.20000000000000107</v>
      </c>
      <c r="H9" s="12"/>
    </row>
    <row r="10" spans="1:8" x14ac:dyDescent="0.2">
      <c r="A10" s="12">
        <v>8</v>
      </c>
      <c r="B10" s="16" t="s">
        <v>23</v>
      </c>
      <c r="C10" s="17">
        <v>8</v>
      </c>
      <c r="D10" s="46">
        <v>8</v>
      </c>
      <c r="E10" s="5">
        <f>($C$10)-$D$10</f>
        <v>0</v>
      </c>
      <c r="F10" s="46">
        <v>7.5</v>
      </c>
      <c r="G10" s="5">
        <f>($C$10)-$F$10</f>
        <v>0.5</v>
      </c>
      <c r="H10" s="12"/>
    </row>
    <row r="11" spans="1:8" x14ac:dyDescent="0.2">
      <c r="A11" s="12">
        <v>9</v>
      </c>
      <c r="B11" s="16" t="s">
        <v>24</v>
      </c>
      <c r="C11" s="17">
        <v>8.5</v>
      </c>
      <c r="D11" s="46">
        <v>8.3000000000000007</v>
      </c>
      <c r="E11" s="5">
        <f>($C$11)-$D$11</f>
        <v>0.19999999999999929</v>
      </c>
      <c r="F11" s="46">
        <v>8</v>
      </c>
      <c r="G11" s="5">
        <f>($C$11)-$F$11</f>
        <v>0.5</v>
      </c>
      <c r="H11" s="12"/>
    </row>
    <row r="12" spans="1:8" ht="15" x14ac:dyDescent="0.25">
      <c r="A12" s="12">
        <v>10</v>
      </c>
      <c r="B12" s="19" t="s">
        <v>25</v>
      </c>
      <c r="C12" s="20">
        <v>18.600000000000001</v>
      </c>
      <c r="D12" s="42">
        <v>17.5</v>
      </c>
      <c r="E12" s="21">
        <f>($C$12)-$D$12</f>
        <v>1.1000000000000014</v>
      </c>
      <c r="F12" s="42">
        <v>18.3</v>
      </c>
      <c r="G12" s="21">
        <f>($C$12)-$F$12</f>
        <v>0.30000000000000071</v>
      </c>
      <c r="H12" s="15"/>
    </row>
    <row r="13" spans="1:8" x14ac:dyDescent="0.2">
      <c r="A13" s="12">
        <v>11</v>
      </c>
      <c r="B13" s="16" t="s">
        <v>26</v>
      </c>
      <c r="C13" s="17">
        <v>13.6</v>
      </c>
      <c r="D13" s="46">
        <v>13.4</v>
      </c>
      <c r="E13" s="5">
        <f>($C$13)-$D$13</f>
        <v>0.19999999999999929</v>
      </c>
      <c r="F13" s="46">
        <v>14</v>
      </c>
      <c r="G13" s="5">
        <f>($C$13)-$F$13</f>
        <v>-0.40000000000000036</v>
      </c>
      <c r="H13" s="12"/>
    </row>
    <row r="14" spans="1:8" x14ac:dyDescent="0.2">
      <c r="A14" s="12">
        <v>12</v>
      </c>
      <c r="B14" s="16" t="s">
        <v>27</v>
      </c>
      <c r="C14" s="17">
        <v>9.9</v>
      </c>
      <c r="D14" s="46">
        <v>9.6999999999999993</v>
      </c>
      <c r="E14" s="5">
        <f>($C$14)-$D$14</f>
        <v>0.20000000000000107</v>
      </c>
      <c r="F14" s="46">
        <v>10.1</v>
      </c>
      <c r="G14" s="5">
        <f>($C$14)-$F$14</f>
        <v>-0.19999999999999929</v>
      </c>
      <c r="H14" s="12"/>
    </row>
    <row r="15" spans="1:8" x14ac:dyDescent="0.2">
      <c r="A15" s="12">
        <v>13</v>
      </c>
      <c r="B15" s="16" t="s">
        <v>28</v>
      </c>
      <c r="C15" s="17">
        <v>9.1</v>
      </c>
      <c r="D15" s="46">
        <v>8.9</v>
      </c>
      <c r="E15" s="5">
        <f>($C$15)-$D$15</f>
        <v>0.19999999999999929</v>
      </c>
      <c r="F15" s="46">
        <v>9.1</v>
      </c>
      <c r="G15" s="5">
        <f>($C$15)-$F$15</f>
        <v>0</v>
      </c>
      <c r="H15" s="12"/>
    </row>
    <row r="16" spans="1:8" x14ac:dyDescent="0.2">
      <c r="A16" s="12">
        <v>14</v>
      </c>
      <c r="B16" s="16" t="s">
        <v>29</v>
      </c>
      <c r="C16" s="17">
        <v>5.2</v>
      </c>
      <c r="D16" s="46">
        <v>5.3</v>
      </c>
      <c r="E16" s="5">
        <f>($C$16)-$D$16</f>
        <v>-9.9999999999999645E-2</v>
      </c>
      <c r="F16" s="46">
        <v>5.0999999999999996</v>
      </c>
      <c r="G16" s="5">
        <f>($C$16)-$F$16</f>
        <v>0.10000000000000053</v>
      </c>
      <c r="H16" s="12"/>
    </row>
    <row r="17" spans="1:8" x14ac:dyDescent="0.2">
      <c r="A17" s="12">
        <v>15</v>
      </c>
      <c r="B17" s="16" t="s">
        <v>30</v>
      </c>
      <c r="C17" s="17">
        <v>15.8</v>
      </c>
      <c r="D17" s="46">
        <v>15.7</v>
      </c>
      <c r="E17" s="5">
        <f>($C$17)-$D$17</f>
        <v>0.10000000000000142</v>
      </c>
      <c r="F17" s="46">
        <v>16</v>
      </c>
      <c r="G17" s="5">
        <f>($C$17)-$F$17</f>
        <v>-0.19999999999999929</v>
      </c>
      <c r="H17" s="12"/>
    </row>
    <row r="18" spans="1:8" x14ac:dyDescent="0.2">
      <c r="A18" s="12">
        <v>16</v>
      </c>
      <c r="B18" s="16" t="s">
        <v>31</v>
      </c>
      <c r="C18" s="17">
        <v>14.9</v>
      </c>
      <c r="D18" s="46">
        <v>14.9</v>
      </c>
      <c r="E18" s="5">
        <f>($C$18)-$D$18</f>
        <v>0</v>
      </c>
      <c r="F18" s="46">
        <v>15</v>
      </c>
      <c r="G18" s="5">
        <f>($C$18)-$F$18</f>
        <v>-9.9999999999999645E-2</v>
      </c>
      <c r="H18" s="12"/>
    </row>
    <row r="19" spans="1:8" x14ac:dyDescent="0.2">
      <c r="A19" s="12">
        <v>17</v>
      </c>
      <c r="B19" s="16" t="s">
        <v>32</v>
      </c>
      <c r="C19" s="17">
        <v>13.1</v>
      </c>
      <c r="D19" s="46">
        <v>13</v>
      </c>
      <c r="E19" s="5">
        <f>($C$19)-$D$19</f>
        <v>9.9999999999999645E-2</v>
      </c>
      <c r="F19" s="46">
        <v>13.1</v>
      </c>
      <c r="G19" s="5">
        <f>($C$19)-$F$19</f>
        <v>0</v>
      </c>
      <c r="H19" s="12"/>
    </row>
    <row r="20" spans="1:8" x14ac:dyDescent="0.2">
      <c r="A20" s="12">
        <v>18</v>
      </c>
      <c r="B20" s="16" t="s">
        <v>33</v>
      </c>
      <c r="C20" s="17">
        <v>10.4</v>
      </c>
      <c r="D20" s="46">
        <v>10.5</v>
      </c>
      <c r="E20" s="5">
        <f>($C$20)-$D$20</f>
        <v>-9.9999999999999645E-2</v>
      </c>
      <c r="F20" s="46">
        <v>10.199999999999999</v>
      </c>
      <c r="G20" s="5">
        <f>($C$20)-$F$20</f>
        <v>0.20000000000000107</v>
      </c>
      <c r="H20" s="12"/>
    </row>
    <row r="21" spans="1:8" x14ac:dyDescent="0.2">
      <c r="A21" s="12">
        <v>19</v>
      </c>
      <c r="B21" s="16" t="s">
        <v>34</v>
      </c>
      <c r="C21" s="17">
        <v>7.3</v>
      </c>
      <c r="D21" s="46">
        <v>7.2</v>
      </c>
      <c r="E21" s="5">
        <f>($C$21)-$D$21</f>
        <v>9.9999999999999645E-2</v>
      </c>
      <c r="F21" s="46">
        <v>7.6</v>
      </c>
      <c r="G21" s="5">
        <f>($C$21)-$F$21</f>
        <v>-0.29999999999999982</v>
      </c>
      <c r="H21" s="12"/>
    </row>
    <row r="22" spans="1:8" x14ac:dyDescent="0.2">
      <c r="A22" s="12">
        <v>20</v>
      </c>
      <c r="B22" s="16" t="s">
        <v>35</v>
      </c>
      <c r="C22" s="17">
        <v>8.4</v>
      </c>
      <c r="D22" s="46">
        <v>8.3000000000000007</v>
      </c>
      <c r="E22" s="5">
        <f>($C$22)-$D$22</f>
        <v>9.9999999999999645E-2</v>
      </c>
      <c r="F22" s="46">
        <v>8</v>
      </c>
      <c r="G22" s="5">
        <f>($C$22)-$F$22</f>
        <v>0.40000000000000036</v>
      </c>
      <c r="H22" s="12"/>
    </row>
    <row r="23" spans="1:8" x14ac:dyDescent="0.2">
      <c r="A23" s="12">
        <v>21</v>
      </c>
      <c r="B23" s="16" t="s">
        <v>36</v>
      </c>
      <c r="C23" s="17">
        <v>5.0999999999999996</v>
      </c>
      <c r="D23" s="46">
        <v>5</v>
      </c>
      <c r="E23" s="5">
        <f>($C$23)-$D$23</f>
        <v>9.9999999999999645E-2</v>
      </c>
      <c r="F23" s="46">
        <v>4.7</v>
      </c>
      <c r="G23" s="5">
        <f>($C$23)-$F$23</f>
        <v>0.39999999999999947</v>
      </c>
      <c r="H23" s="12"/>
    </row>
    <row r="24" spans="1:8" x14ac:dyDescent="0.2">
      <c r="A24" s="12">
        <v>22</v>
      </c>
      <c r="B24" s="16" t="s">
        <v>37</v>
      </c>
      <c r="C24" s="17">
        <v>16.399999999999999</v>
      </c>
      <c r="D24" s="46">
        <v>16.5</v>
      </c>
      <c r="E24" s="5">
        <f>($C$24)-$D$24</f>
        <v>-0.10000000000000142</v>
      </c>
      <c r="F24" s="46">
        <v>16.600000000000001</v>
      </c>
      <c r="G24" s="5">
        <f>($C$24)-$F$24</f>
        <v>-0.20000000000000284</v>
      </c>
      <c r="H24" s="12"/>
    </row>
    <row r="25" spans="1:8" x14ac:dyDescent="0.2">
      <c r="A25" s="12">
        <v>23</v>
      </c>
      <c r="B25" s="16" t="s">
        <v>38</v>
      </c>
      <c r="C25" s="17">
        <v>7.3</v>
      </c>
      <c r="D25" s="46">
        <v>7</v>
      </c>
      <c r="E25" s="5">
        <f>($C$25)-$D$25</f>
        <v>0.29999999999999982</v>
      </c>
      <c r="F25" s="46">
        <v>7.4</v>
      </c>
      <c r="G25" s="5">
        <f>($C$25)-$F$25</f>
        <v>-0.10000000000000053</v>
      </c>
      <c r="H25" s="12"/>
    </row>
    <row r="26" spans="1:8" x14ac:dyDescent="0.2">
      <c r="A26" s="12">
        <v>24</v>
      </c>
      <c r="B26" s="16" t="s">
        <v>39</v>
      </c>
      <c r="C26" s="22">
        <v>2.9</v>
      </c>
      <c r="D26" s="46">
        <v>2.8</v>
      </c>
      <c r="E26" s="5">
        <f>($C$26)-$D$26</f>
        <v>0.10000000000000009</v>
      </c>
      <c r="F26" s="46">
        <v>2.9</v>
      </c>
      <c r="G26" s="5">
        <f>($C$26)-$F$26</f>
        <v>0</v>
      </c>
      <c r="H26" s="12"/>
    </row>
    <row r="27" spans="1:8" x14ac:dyDescent="0.2">
      <c r="A27" s="12">
        <v>25</v>
      </c>
      <c r="B27" s="16" t="s">
        <v>40</v>
      </c>
      <c r="C27" s="17">
        <v>9.9</v>
      </c>
      <c r="D27" s="46">
        <v>9.9</v>
      </c>
      <c r="E27" s="5">
        <f>($C$27)-$D$27</f>
        <v>0</v>
      </c>
      <c r="F27" s="46">
        <v>9.8000000000000007</v>
      </c>
      <c r="G27" s="5">
        <f>($C$27)-$F$27</f>
        <v>9.9999999999999645E-2</v>
      </c>
      <c r="H27" s="12"/>
    </row>
    <row r="28" spans="1:8" x14ac:dyDescent="0.2">
      <c r="A28" s="12">
        <v>26</v>
      </c>
      <c r="B28" s="16" t="s">
        <v>41</v>
      </c>
      <c r="C28" s="17">
        <v>4</v>
      </c>
      <c r="D28" s="46">
        <v>4</v>
      </c>
      <c r="E28" s="5">
        <f>($C$28)-$D$28</f>
        <v>0</v>
      </c>
      <c r="F28" s="46">
        <v>4.0999999999999996</v>
      </c>
      <c r="G28" s="5">
        <f>($C$28)-$F$28</f>
        <v>-9.9999999999999645E-2</v>
      </c>
      <c r="H28" s="12"/>
    </row>
    <row r="29" spans="1:8" x14ac:dyDescent="0.2">
      <c r="A29" s="12">
        <v>27</v>
      </c>
      <c r="B29" s="16" t="s">
        <v>42</v>
      </c>
      <c r="C29" s="17">
        <v>6.8</v>
      </c>
      <c r="D29" s="48">
        <v>6.9</v>
      </c>
      <c r="E29" s="5">
        <f>($C$29)-$D$29</f>
        <v>-0.10000000000000053</v>
      </c>
      <c r="F29" s="46">
        <v>6.9</v>
      </c>
      <c r="G29" s="5">
        <f>($C$29)-$F$29</f>
        <v>-0.10000000000000053</v>
      </c>
      <c r="H29" s="12"/>
    </row>
    <row r="30" spans="1:8" x14ac:dyDescent="0.2">
      <c r="B30" s="30" t="s">
        <v>50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30-11-'24 r. w proc.*</v>
      </c>
      <c r="E3" s="32" t="str">
        <f>T('2s.bezr.pow.'!D2)</f>
        <v>Stopa bezrobocia stan na 31-10-'24 r. w proc. *</v>
      </c>
      <c r="F3" s="32" t="str">
        <f>T('2s.bezr.pow.'!E2)</f>
        <v>wzrost/spadek do poprzedniego miesiąca (pkt. proc.)</v>
      </c>
      <c r="G3" s="49" t="str">
        <f>T('2s.bezr.pow.'!F2)</f>
        <v>Stopa bezrobocia stan na 30-11-'23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4</v>
      </c>
      <c r="C4" s="23" t="str">
        <f>INDEX('2s.bezr.pow.'!B3:G29,MATCH(1,B4:B30,0),1)</f>
        <v>Powiat m.Krosno</v>
      </c>
      <c r="D4" s="15">
        <f>INDEX('2s.bezr.pow.'!B3:G29,MATCH(1,B4:B30,0),2)</f>
        <v>2.9</v>
      </c>
      <c r="E4" s="46">
        <f>INDEX('2s.bezr.pow.'!B3:G29,MATCH(1,B4:B30,0),3)</f>
        <v>2.8</v>
      </c>
      <c r="F4" s="11">
        <f>INDEX('2s.bezr.pow.'!B3:G29,MATCH(1,B4:B30,0),4)</f>
        <v>0.10000000000000009</v>
      </c>
      <c r="G4" s="46">
        <f>INDEX('2s.bezr.pow.'!B3:G29,MATCH(1,B4:B30,0),5)</f>
        <v>2.9</v>
      </c>
      <c r="H4" s="11">
        <f>INDEX('2s.bezr.pow.'!B3:G29,MATCH(1,B4:B30,0),6)</f>
        <v>0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11</v>
      </c>
      <c r="C5" s="3" t="str">
        <f>INDEX('2s.bezr.pow.'!B3:G29,MATCH(2,B4:B30,0),1)</f>
        <v>Powiat m.Rzeszów</v>
      </c>
      <c r="D5" s="5">
        <f>INDEX('2s.bezr.pow.'!B3:G29,MATCH(2,B4:B30,0),2)</f>
        <v>4</v>
      </c>
      <c r="E5" s="46">
        <f>INDEX('2s.bezr.pow.'!B3:G29,MATCH(2,B4:B30,0),3)</f>
        <v>4</v>
      </c>
      <c r="F5" s="11">
        <f>INDEX('2s.bezr.pow.'!B3:G29,MATCH(2,B4:B30,0),4)</f>
        <v>0</v>
      </c>
      <c r="G5" s="46">
        <f>INDEX('2s.bezr.pow.'!B3:G29,MATCH(2,B4:B30,0),5)</f>
        <v>4.0999999999999996</v>
      </c>
      <c r="H5" s="11">
        <f>INDEX('2s.bezr.pow.'!B3:G29,MATCH(2,B4:B30,0),6)</f>
        <v>-9.9999999999999645E-2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23</v>
      </c>
      <c r="C6" s="3" t="str">
        <f>INDEX('2s.bezr.pow.'!B3:G29,MATCH(3,B4:B30,0),1)</f>
        <v>Powiat dębicki</v>
      </c>
      <c r="D6" s="5">
        <f>INDEX('2s.bezr.pow.'!B3:G29,MATCH(3,B4:B30,0),2)</f>
        <v>4.3</v>
      </c>
      <c r="E6" s="46">
        <f>INDEX('2s.bezr.pow.'!B3:G29,MATCH(3,B4:B30,0),3)</f>
        <v>4.4000000000000004</v>
      </c>
      <c r="F6" s="11">
        <f>INDEX('2s.bezr.pow.'!B3:G29,MATCH(3,B4:B30,0),4)</f>
        <v>-0.10000000000000053</v>
      </c>
      <c r="G6" s="46">
        <f>INDEX('2s.bezr.pow.'!B3:G29,MATCH(3,B4:B30,0),5)</f>
        <v>4.5999999999999996</v>
      </c>
      <c r="H6" s="11">
        <f>INDEX('2s.bezr.pow.'!B3:G29,MATCH(3,B4:B30,0),6)</f>
        <v>-0.29999999999999982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POLSKA</v>
      </c>
      <c r="D7" s="5">
        <f>INDEX('2s.bezr.pow.'!B3:G29,MATCH(4,B4:B30,0),2)</f>
        <v>5</v>
      </c>
      <c r="E7" s="46">
        <f>INDEX('2s.bezr.pow.'!B3:G29,MATCH(4,B4:B30,0),3)</f>
        <v>4.9000000000000004</v>
      </c>
      <c r="F7" s="11">
        <f>INDEX('2s.bezr.pow.'!B3:G29,MATCH(4,B4:B30,0),4)</f>
        <v>9.9999999999999645E-2</v>
      </c>
      <c r="G7" s="46">
        <f>INDEX('2s.bezr.pow.'!B3:G29,MATCH(4,B4:B30,0),5)</f>
        <v>5</v>
      </c>
      <c r="H7" s="11">
        <f>INDEX('2s.bezr.pow.'!B3:G29,MATCH(4,B4:B30,0),6)</f>
        <v>0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stalowowolski</v>
      </c>
      <c r="D8" s="5">
        <f>INDEX('2s.bezr.pow.'!B3:G29,MATCH(5,B4:B30,0),2)</f>
        <v>5.0999999999999996</v>
      </c>
      <c r="E8" s="46">
        <f>INDEX('2s.bezr.pow.'!B3:G29,MATCH(5,B4:B30,0),3)</f>
        <v>5</v>
      </c>
      <c r="F8" s="11">
        <f>INDEX('2s.bezr.pow.'!B3:G29,MATCH(5,B4:B30,0),4)</f>
        <v>9.9999999999999645E-2</v>
      </c>
      <c r="G8" s="46">
        <f>INDEX('2s.bezr.pow.'!B3:G29,MATCH(5,B4:B30,0),5)</f>
        <v>4.7</v>
      </c>
      <c r="H8" s="11">
        <f>INDEX('2s.bezr.pow.'!B3:G29,MATCH(5,B4:B30,0),6)</f>
        <v>0.39999999999999947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18</v>
      </c>
      <c r="C9" s="3" t="str">
        <f>INDEX('2s.bezr.pow.'!B3:G29,MATCH(6,B4:B30,0),1)</f>
        <v>Powiat mielecki</v>
      </c>
      <c r="D9" s="5">
        <f>INDEX('2s.bezr.pow.'!B3:G29,MATCH(6,B4:B30,0),2)</f>
        <v>5.2</v>
      </c>
      <c r="E9" s="46">
        <f>INDEX('2s.bezr.pow.'!B3:G29,MATCH(6,B4:B30,0),3)</f>
        <v>5.3</v>
      </c>
      <c r="F9" s="11">
        <f>INDEX('2s.bezr.pow.'!B3:G29,MATCH(6,B4:B30,0),4)</f>
        <v>-9.9999999999999645E-2</v>
      </c>
      <c r="G9" s="46">
        <f>INDEX('2s.bezr.pow.'!B3:G29,MATCH(6,B4:B30,0),5)</f>
        <v>5.0999999999999996</v>
      </c>
      <c r="H9" s="11">
        <f>INDEX('2s.bezr.pow.'!B3:G29,MATCH(6,B4:B30,0),6)</f>
        <v>0.10000000000000053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6.8</v>
      </c>
      <c r="E10" s="46">
        <f>INDEX('2s.bezr.pow.'!B3:G29,MATCH(7,B4:B30,0),3)</f>
        <v>6.9</v>
      </c>
      <c r="F10" s="11">
        <f>INDEX('2s.bezr.pow.'!B3:G29,MATCH(7,B4:B30,0),4)</f>
        <v>-0.10000000000000053</v>
      </c>
      <c r="G10" s="46">
        <f>INDEX('2s.bezr.pow.'!B3:G29,MATCH(7,B4:B30,0),5)</f>
        <v>6.9</v>
      </c>
      <c r="H10" s="11">
        <f>INDEX('2s.bezr.pow.'!B3:G29,MATCH(7,B4:B30,0),6)</f>
        <v>-0.10000000000000053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rzeszowski</v>
      </c>
      <c r="D11" s="5">
        <f>INDEX('2s.bezr.pow.'!B3:G29,MATCH(8,B4:B30,0),2)</f>
        <v>7.3</v>
      </c>
      <c r="E11" s="46">
        <f>INDEX('2s.bezr.pow.'!B3:G29,MATCH(8,B4:B30,0),3)</f>
        <v>7.2</v>
      </c>
      <c r="F11" s="11">
        <f>INDEX('2s.bezr.pow.'!B3:G29,MATCH(8,B4:B30,0),4)</f>
        <v>9.9999999999999645E-2</v>
      </c>
      <c r="G11" s="46">
        <f>INDEX('2s.bezr.pow.'!B3:G29,MATCH(8,B4:B30,0),5)</f>
        <v>7.6</v>
      </c>
      <c r="H11" s="11">
        <f>INDEX('2s.bezr.pow.'!B3:G29,MATCH(8,B4:B30,0),6)</f>
        <v>-0.29999999999999982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13</v>
      </c>
      <c r="C12" s="3" t="str">
        <f>INDEX('2s.bezr.pow.'!B3:G29,MATCH(9,B4:B30,0),1)</f>
        <v>Powiat tarnobrzeski</v>
      </c>
      <c r="D12" s="5">
        <f>INDEX('2s.bezr.pow.'!B3:G29,MATCH(9,B4:B30,0),2)</f>
        <v>7.3</v>
      </c>
      <c r="E12" s="46">
        <f>INDEX('2s.bezr.pow.'!B3:G29,MATCH(9,B4:B30,0),3)</f>
        <v>7</v>
      </c>
      <c r="F12" s="11">
        <f>INDEX('2s.bezr.pow.'!B3:G29,MATCH(9,B4:B30,0),4)</f>
        <v>0.29999999999999982</v>
      </c>
      <c r="G12" s="46">
        <f>INDEX('2s.bezr.pow.'!B3:G29,MATCH(9,B4:B30,0),5)</f>
        <v>7.4</v>
      </c>
      <c r="H12" s="11">
        <f>INDEX('2s.bezr.pow.'!B3:G29,MATCH(9,B4:B30,0),6)</f>
        <v>-0.10000000000000053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kolbuszowski</v>
      </c>
      <c r="D13" s="5">
        <f>INDEX('2s.bezr.pow.'!B3:G29,MATCH(10,B4:B30,0),2)</f>
        <v>8</v>
      </c>
      <c r="E13" s="46">
        <f>INDEX('2s.bezr.pow.'!B3:G29,MATCH(10,B4:B30,0),3)</f>
        <v>8</v>
      </c>
      <c r="F13" s="11">
        <f>INDEX('2s.bezr.pow.'!B3:G29,MATCH(10,B4:B30,0),4)</f>
        <v>0</v>
      </c>
      <c r="G13" s="46">
        <f>INDEX('2s.bezr.pow.'!B3:G29,MATCH(10,B4:B30,0),5)</f>
        <v>7.5</v>
      </c>
      <c r="H13" s="11">
        <f>INDEX('2s.bezr.pow.'!B3:G29,MATCH(10,B4:B30,0),6)</f>
        <v>0.5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PODKARPACKIE</v>
      </c>
      <c r="D14" s="5">
        <f>INDEX('2s.bezr.pow.'!B3:G29,MATCH(11,B4:B30,0),2)</f>
        <v>8.4</v>
      </c>
      <c r="E14" s="46">
        <f>INDEX('2s.bezr.pow.'!B3:G29,MATCH(11,B4:B30,0),3)</f>
        <v>8.3000000000000007</v>
      </c>
      <c r="F14" s="11">
        <f>INDEX('2s.bezr.pow.'!B3:G29,MATCH(11,B4:B30,0),4)</f>
        <v>9.9999999999999645E-2</v>
      </c>
      <c r="G14" s="46">
        <f>INDEX('2s.bezr.pow.'!B3:G29,MATCH(11,B4:B30,0),5)</f>
        <v>8.4</v>
      </c>
      <c r="H14" s="11">
        <f>INDEX('2s.bezr.pow.'!B3:G29,MATCH(11,B4:B30,0),6)</f>
        <v>0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15</v>
      </c>
      <c r="C15" s="24" t="str">
        <f>INDEX('2s.bezr.pow.'!B3:G29,MATCH(12,B4:B30,0),1)</f>
        <v>Powiat sanocki</v>
      </c>
      <c r="D15" s="5">
        <f>INDEX('2s.bezr.pow.'!B3:G29,MATCH(12,B4:B30,0),2)</f>
        <v>8.4</v>
      </c>
      <c r="E15" s="46">
        <f>INDEX('2s.bezr.pow.'!B3:G29,MATCH(12,B4:B30,0),3)</f>
        <v>8.3000000000000007</v>
      </c>
      <c r="F15" s="11">
        <f>INDEX('2s.bezr.pow.'!B3:G29,MATCH(12,B4:B30,0),4)</f>
        <v>9.9999999999999645E-2</v>
      </c>
      <c r="G15" s="46">
        <f>INDEX('2s.bezr.pow.'!B3:G29,MATCH(12,B4:B30,0),5)</f>
        <v>8</v>
      </c>
      <c r="H15" s="11">
        <f>INDEX('2s.bezr.pow.'!B3:G29,MATCH(12,B4:B30,0),6)</f>
        <v>0.40000000000000036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14</v>
      </c>
      <c r="C16" s="3" t="str">
        <f>INDEX('2s.bezr.pow.'!B3:G29,MATCH(13,B4:B30,0),1)</f>
        <v>Powiat krośnieński</v>
      </c>
      <c r="D16" s="5">
        <f>INDEX('2s.bezr.pow.'!B3:G29,MATCH(13,B4:B30,0),2)</f>
        <v>8.5</v>
      </c>
      <c r="E16" s="46">
        <f>INDEX('2s.bezr.pow.'!B3:G29,MATCH(13,B4:B30,0),3)</f>
        <v>8.3000000000000007</v>
      </c>
      <c r="F16" s="11">
        <f>INDEX('2s.bezr.pow.'!B3:G29,MATCH(13,B4:B30,0),4)</f>
        <v>0.19999999999999929</v>
      </c>
      <c r="G16" s="46">
        <f>INDEX('2s.bezr.pow.'!B3:G29,MATCH(13,B4:B30,0),5)</f>
        <v>8</v>
      </c>
      <c r="H16" s="11">
        <f>INDEX('2s.bezr.pow.'!B3:G29,MATCH(13,B4:B30,0),6)</f>
        <v>0.5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6</v>
      </c>
      <c r="C17" s="3" t="str">
        <f>INDEX('2s.bezr.pow.'!B3:G29,MATCH(14,B4:B30,0),1)</f>
        <v>Powiat łańcucki</v>
      </c>
      <c r="D17" s="5">
        <f>INDEX('2s.bezr.pow.'!B3:G29,MATCH(14,B4:B30,0),2)</f>
        <v>9.1</v>
      </c>
      <c r="E17" s="46">
        <f>INDEX('2s.bezr.pow.'!B3:G29,MATCH(14,B4:B30,0),3)</f>
        <v>8.9</v>
      </c>
      <c r="F17" s="11">
        <f>INDEX('2s.bezr.pow.'!B3:G29,MATCH(14,B4:B30,0),4)</f>
        <v>0.19999999999999929</v>
      </c>
      <c r="G17" s="46">
        <f>INDEX('2s.bezr.pow.'!B3:G29,MATCH(14,B4:B30,0),5)</f>
        <v>9.1</v>
      </c>
      <c r="H17" s="11">
        <f>INDEX('2s.bezr.pow.'!B3:G29,MATCH(14,B4:B30,0),6)</f>
        <v>0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lubaczowski</v>
      </c>
      <c r="D18" s="5">
        <f>INDEX('2s.bezr.pow.'!B3:G29,MATCH(15,B4:B30,0),2)</f>
        <v>9.9</v>
      </c>
      <c r="E18" s="46">
        <f>INDEX('2s.bezr.pow.'!B3:G29,MATCH(15,B4:B30,0),3)</f>
        <v>9.6999999999999993</v>
      </c>
      <c r="F18" s="11">
        <f>INDEX('2s.bezr.pow.'!B3:G29,MATCH(15,B4:B30,0),4)</f>
        <v>0.20000000000000107</v>
      </c>
      <c r="G18" s="46">
        <f>INDEX('2s.bezr.pow.'!B3:G29,MATCH(15,B4:B30,0),5)</f>
        <v>10.1</v>
      </c>
      <c r="H18" s="11">
        <f>INDEX('2s.bezr.pow.'!B3:G29,MATCH(15,B4:B30,0),6)</f>
        <v>-0.19999999999999929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22</v>
      </c>
      <c r="C19" s="3" t="str">
        <f>INDEX('2s.bezr.pow.'!B3:G29,MATCH(16,B4:B30,0),1)</f>
        <v>Powiat m.Przemyśl</v>
      </c>
      <c r="D19" s="5">
        <f>INDEX('2s.bezr.pow.'!B3:G29,MATCH(16,B4:B30,0),2)</f>
        <v>9.9</v>
      </c>
      <c r="E19" s="46">
        <f>INDEX('2s.bezr.pow.'!B3:G29,MATCH(16,B4:B30,0),3)</f>
        <v>9.9</v>
      </c>
      <c r="F19" s="11">
        <f>INDEX('2s.bezr.pow.'!B3:G29,MATCH(16,B4:B30,0),4)</f>
        <v>0</v>
      </c>
      <c r="G19" s="46">
        <f>INDEX('2s.bezr.pow.'!B3:G29,MATCH(16,B4:B30,0),5)</f>
        <v>9.8000000000000007</v>
      </c>
      <c r="H19" s="11">
        <f>INDEX('2s.bezr.pow.'!B3:G29,MATCH(16,B4:B30,0),6)</f>
        <v>9.9999999999999645E-2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ropczycko-sędziszowski</v>
      </c>
      <c r="D20" s="5">
        <f>INDEX('2s.bezr.pow.'!B3:G29,MATCH(17,B4:B30,0),2)</f>
        <v>10.4</v>
      </c>
      <c r="E20" s="46">
        <f>INDEX('2s.bezr.pow.'!B3:G29,MATCH(17,B4:B30,0),3)</f>
        <v>10.5</v>
      </c>
      <c r="F20" s="11">
        <f>INDEX('2s.bezr.pow.'!B3:G29,MATCH(17,B4:B30,0),4)</f>
        <v>-9.9999999999999645E-2</v>
      </c>
      <c r="G20" s="46">
        <f>INDEX('2s.bezr.pow.'!B3:G29,MATCH(17,B4:B30,0),5)</f>
        <v>10.199999999999999</v>
      </c>
      <c r="H20" s="11">
        <f>INDEX('2s.bezr.pow.'!B3:G29,MATCH(17,B4:B30,0),6)</f>
        <v>0.20000000000000107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17</v>
      </c>
      <c r="C21" s="3" t="str">
        <f>INDEX('2s.bezr.pow.'!B3:G29,MATCH(18,B4:B30,0),1)</f>
        <v>Powiat jarosławski</v>
      </c>
      <c r="D21" s="5">
        <f>INDEX('2s.bezr.pow.'!B3:G29,MATCH(18,B4:B30,0),2)</f>
        <v>10.5</v>
      </c>
      <c r="E21" s="46">
        <f>INDEX('2s.bezr.pow.'!B3:G29,MATCH(18,B4:B30,0),3)</f>
        <v>10.5</v>
      </c>
      <c r="F21" s="11">
        <f>INDEX('2s.bezr.pow.'!B3:G29,MATCH(18,B4:B30,0),4)</f>
        <v>0</v>
      </c>
      <c r="G21" s="46">
        <f>INDEX('2s.bezr.pow.'!B3:G29,MATCH(18,B4:B30,0),5)</f>
        <v>10.3</v>
      </c>
      <c r="H21" s="11">
        <f>INDEX('2s.bezr.pow.'!B3:G29,MATCH(18,B4:B30,0),6)</f>
        <v>0.19999999999999929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8</v>
      </c>
      <c r="C22" s="3" t="str">
        <f>INDEX('2s.bezr.pow.'!B3:G29,MATCH(19,B4:B30,0),1)</f>
        <v>Powiat jasielski</v>
      </c>
      <c r="D22" s="5">
        <f>INDEX('2s.bezr.pow.'!B3:G29,MATCH(19,B4:B30,0),2)</f>
        <v>12.7</v>
      </c>
      <c r="E22" s="46">
        <f>INDEX('2s.bezr.pow.'!B3:G29,MATCH(19,B4:B30,0),3)</f>
        <v>12.4</v>
      </c>
      <c r="F22" s="11">
        <f>INDEX('2s.bezr.pow.'!B3:G29,MATCH(19,B4:B30,0),4)</f>
        <v>0.29999999999999893</v>
      </c>
      <c r="G22" s="46">
        <f>INDEX('2s.bezr.pow.'!B3:G29,MATCH(19,B4:B30,0),5)</f>
        <v>12.9</v>
      </c>
      <c r="H22" s="11">
        <f>INDEX('2s.bezr.pow.'!B3:G29,MATCH(19,B4:B30,0),6)</f>
        <v>-0.20000000000000107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12</v>
      </c>
      <c r="C23" s="3" t="str">
        <f>INDEX('2s.bezr.pow.'!B3:G29,MATCH(20,B4:B30,0),1)</f>
        <v>Powiat przeworski</v>
      </c>
      <c r="D23" s="5">
        <f>INDEX('2s.bezr.pow.'!B3:G29,MATCH(20,B4:B30,0),2)</f>
        <v>13.1</v>
      </c>
      <c r="E23" s="46">
        <f>INDEX('2s.bezr.pow.'!B3:G29,MATCH(20,B4:B30,0),3)</f>
        <v>13</v>
      </c>
      <c r="F23" s="11">
        <f>INDEX('2s.bezr.pow.'!B3:G29,MATCH(20,B4:B30,0),4)</f>
        <v>9.9999999999999645E-2</v>
      </c>
      <c r="G23" s="46">
        <f>INDEX('2s.bezr.pow.'!B3:G29,MATCH(20,B4:B30,0),5)</f>
        <v>13.1</v>
      </c>
      <c r="H23" s="11">
        <f>INDEX('2s.bezr.pow.'!B3:G29,MATCH(20,B4:B30,0),6)</f>
        <v>0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5</v>
      </c>
      <c r="C24" s="3" t="str">
        <f>INDEX('2s.bezr.pow.'!B3:G29,MATCH(21,B4:B30,0),1)</f>
        <v>Powiat leżajski</v>
      </c>
      <c r="D24" s="5">
        <f>INDEX('2s.bezr.pow.'!B3:G29,MATCH(21,B4:B30,0),2)</f>
        <v>13.6</v>
      </c>
      <c r="E24" s="46">
        <f>INDEX('2s.bezr.pow.'!B3:G29,MATCH(21,B4:B30,0),3)</f>
        <v>13.4</v>
      </c>
      <c r="F24" s="11">
        <f>INDEX('2s.bezr.pow.'!B3:G29,MATCH(21,B4:B30,0),4)</f>
        <v>0.19999999999999929</v>
      </c>
      <c r="G24" s="46">
        <f>INDEX('2s.bezr.pow.'!B3:G29,MATCH(21,B4:B30,0),5)</f>
        <v>14</v>
      </c>
      <c r="H24" s="11">
        <f>INDEX('2s.bezr.pow.'!B3:G29,MATCH(21,B4:B30,0),6)</f>
        <v>-0.40000000000000036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przemyski</v>
      </c>
      <c r="D25" s="5">
        <f>INDEX('2s.bezr.pow.'!B3:G29,MATCH(22,B4:B30,0),2)</f>
        <v>14.9</v>
      </c>
      <c r="E25" s="46">
        <f>INDEX('2s.bezr.pow.'!B3:G29,MATCH(22,B4:B30,0),3)</f>
        <v>14.9</v>
      </c>
      <c r="F25" s="11">
        <f>INDEX('2s.bezr.pow.'!B3:G29,MATCH(22,B4:B30,0),4)</f>
        <v>0</v>
      </c>
      <c r="G25" s="46">
        <f>INDEX('2s.bezr.pow.'!B3:G29,MATCH(22,B4:B30,0),5)</f>
        <v>15</v>
      </c>
      <c r="H25" s="11">
        <f>INDEX('2s.bezr.pow.'!B3:G29,MATCH(22,B4:B30,0),6)</f>
        <v>-9.9999999999999645E-2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9</v>
      </c>
      <c r="C26" s="3" t="str">
        <f>INDEX('2s.bezr.pow.'!B3:G29,MATCH(23,B4:B30,0),1)</f>
        <v>Powiat bieszczadzki</v>
      </c>
      <c r="D26" s="5">
        <f>INDEX('2s.bezr.pow.'!B3:G29,MATCH(23,B4:B30,0),2)</f>
        <v>15.4</v>
      </c>
      <c r="E26" s="46">
        <f>INDEX('2s.bezr.pow.'!B3:G29,MATCH(23,B4:B30,0),3)</f>
        <v>15.1</v>
      </c>
      <c r="F26" s="11">
        <f>INDEX('2s.bezr.pow.'!B3:G29,MATCH(23,B4:B30,0),4)</f>
        <v>0.30000000000000071</v>
      </c>
      <c r="G26" s="46">
        <f>INDEX('2s.bezr.pow.'!B3:G29,MATCH(23,B4:B30,0),5)</f>
        <v>14.8</v>
      </c>
      <c r="H26" s="11">
        <f>INDEX('2s.bezr.pow.'!B3:G29,MATCH(23,B4:B30,0),6)</f>
        <v>0.59999999999999964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15.8</v>
      </c>
      <c r="E27" s="46">
        <f>INDEX('2s.bezr.pow.'!B3:G29,MATCH(24,B4:B30,0),3)</f>
        <v>15.7</v>
      </c>
      <c r="F27" s="11">
        <f>INDEX('2s.bezr.pow.'!B3:G29,MATCH(24,B4:B30,0),4)</f>
        <v>0.10000000000000142</v>
      </c>
      <c r="G27" s="46">
        <f>INDEX('2s.bezr.pow.'!B3:G29,MATCH(24,B4:B30,0),5)</f>
        <v>16</v>
      </c>
      <c r="H27" s="11">
        <f>INDEX('2s.bezr.pow.'!B3:G29,MATCH(24,B4:B30,0),6)</f>
        <v>-0.19999999999999929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16</v>
      </c>
      <c r="C28" s="3" t="str">
        <f>INDEX('2s.bezr.pow.'!B3:G29,MATCH(25,B4:B30,0),1)</f>
        <v>Powiat strzyżowski</v>
      </c>
      <c r="D28" s="5">
        <f>INDEX('2s.bezr.pow.'!B3:G29,MATCH(25,B4:B30,0),2)</f>
        <v>16.399999999999999</v>
      </c>
      <c r="E28" s="46">
        <f>INDEX('2s.bezr.pow.'!B3:G29,MATCH(25,B4:B30,0),3)</f>
        <v>16.5</v>
      </c>
      <c r="F28" s="11">
        <f>INDEX('2s.bezr.pow.'!B3:G29,MATCH(25,B4:B30,0),4)</f>
        <v>-0.10000000000000142</v>
      </c>
      <c r="G28" s="46">
        <f>INDEX('2s.bezr.pow.'!B3:G29,MATCH(25,B4:B30,0),5)</f>
        <v>16.600000000000001</v>
      </c>
      <c r="H28" s="11">
        <f>INDEX('2s.bezr.pow.'!B3:G29,MATCH(25,B4:B30,0),6)</f>
        <v>-0.20000000000000284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18.600000000000001</v>
      </c>
      <c r="E29" s="42">
        <f>INDEX('2s.bezr.pow.'!B3:G29,MATCH(26,B4:B30,0),3)</f>
        <v>17.5</v>
      </c>
      <c r="F29" s="25">
        <f>INDEX('2s.bezr.pow.'!B3:G29,MATCH(26,B4:B30,0),4)</f>
        <v>1.1000000000000014</v>
      </c>
      <c r="G29" s="42">
        <f>INDEX('2s.bezr.pow.'!B3:G29,MATCH(26,B4:B30,0),5)</f>
        <v>18.3</v>
      </c>
      <c r="H29" s="25">
        <f>INDEX('2s.bezr.pow.'!B3:G29,MATCH(26,B4:B30,0),6)</f>
        <v>0.30000000000000071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20.2</v>
      </c>
      <c r="E30" s="46">
        <f>INDEX('2s.bezr.pow.'!B3:G29,MATCH(27,B4:B30,0),3)</f>
        <v>19.600000000000001</v>
      </c>
      <c r="F30" s="5">
        <f>INDEX('2s.bezr.pow.'!B3:G29,MATCH(27,B4:B30,0),4)</f>
        <v>0.59999999999999787</v>
      </c>
      <c r="G30" s="46">
        <f>INDEX('2s.bezr.pow.'!B3:G29,MATCH(27,B4:B30,0),5)</f>
        <v>20.3</v>
      </c>
      <c r="H30" s="5">
        <f>INDEX('2s.bezr.pow.'!B3:G29,MATCH(27,B4:B30,0),6)</f>
        <v>-0.10000000000000142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40"/>
  <sheetViews>
    <sheetView zoomScale="80" zoomScaleNormal="80" workbookViewId="0">
      <selection activeCell="C37" sqref="C37"/>
    </sheetView>
  </sheetViews>
  <sheetFormatPr defaultRowHeight="12" x14ac:dyDescent="0.2"/>
  <cols>
    <col min="1" max="1" width="1.5703125" style="50" customWidth="1"/>
    <col min="2" max="2" width="8.28515625" style="51" customWidth="1"/>
    <col min="3" max="3" width="9" style="51" customWidth="1"/>
    <col min="4" max="4" width="15.28515625" style="51" customWidth="1"/>
    <col min="5" max="5" width="17.7109375" style="51" customWidth="1"/>
    <col min="6" max="6" width="11.140625" style="51" customWidth="1"/>
    <col min="7" max="7" width="13.5703125" style="51" customWidth="1"/>
    <col min="8" max="8" width="10.42578125" style="51" customWidth="1"/>
    <col min="9" max="9" width="14.140625" style="51" customWidth="1"/>
    <col min="10" max="10" width="2.140625" style="51" customWidth="1"/>
    <col min="11" max="11" width="11" style="51" customWidth="1"/>
    <col min="12" max="12" width="7" style="51" customWidth="1"/>
    <col min="13" max="13" width="11.140625" style="51" customWidth="1"/>
    <col min="14" max="14" width="4.7109375" style="51" customWidth="1"/>
    <col min="15" max="15" width="5" style="51" customWidth="1"/>
    <col min="16" max="16384" width="9.140625" style="51"/>
  </cols>
  <sheetData>
    <row r="1" spans="1:13" ht="16.5" customHeight="1" thickBot="1" x14ac:dyDescent="0.25">
      <c r="B1" s="1" t="s">
        <v>133</v>
      </c>
      <c r="E1" s="1" t="s">
        <v>52</v>
      </c>
      <c r="K1" s="2" t="s">
        <v>51</v>
      </c>
    </row>
    <row r="2" spans="1:13" ht="18" customHeight="1" x14ac:dyDescent="0.2">
      <c r="B2" s="81" t="s">
        <v>53</v>
      </c>
      <c r="C2" s="77" t="s">
        <v>1</v>
      </c>
      <c r="D2" s="64" t="s">
        <v>10</v>
      </c>
      <c r="E2" s="61" t="s">
        <v>54</v>
      </c>
      <c r="F2" s="62" t="s">
        <v>55</v>
      </c>
      <c r="G2" s="62" t="s">
        <v>56</v>
      </c>
      <c r="H2" s="63" t="s">
        <v>57</v>
      </c>
      <c r="I2" s="64" t="s">
        <v>58</v>
      </c>
      <c r="K2" s="81" t="s">
        <v>59</v>
      </c>
      <c r="L2" s="77" t="s">
        <v>60</v>
      </c>
      <c r="M2" s="64" t="s">
        <v>61</v>
      </c>
    </row>
    <row r="3" spans="1:13" x14ac:dyDescent="0.2">
      <c r="A3" s="52"/>
      <c r="B3" s="82" t="s">
        <v>62</v>
      </c>
      <c r="C3" s="78">
        <v>6.5</v>
      </c>
      <c r="D3" s="75"/>
      <c r="E3" s="88"/>
      <c r="F3" s="89"/>
      <c r="G3" s="89"/>
      <c r="H3" s="90"/>
      <c r="I3" s="91"/>
      <c r="K3" s="82" t="s">
        <v>97</v>
      </c>
      <c r="L3" s="78">
        <v>0.3</v>
      </c>
      <c r="M3" s="75"/>
    </row>
    <row r="4" spans="1:13" x14ac:dyDescent="0.2">
      <c r="A4" s="52"/>
      <c r="B4" s="82" t="s">
        <v>63</v>
      </c>
      <c r="C4" s="78">
        <v>12.2</v>
      </c>
      <c r="D4" s="75"/>
      <c r="E4" s="88"/>
      <c r="F4" s="89"/>
      <c r="G4" s="89"/>
      <c r="H4" s="90"/>
      <c r="I4" s="91"/>
      <c r="K4" s="82" t="s">
        <v>98</v>
      </c>
      <c r="L4" s="78">
        <v>6.6</v>
      </c>
      <c r="M4" s="75"/>
    </row>
    <row r="5" spans="1:13" x14ac:dyDescent="0.2">
      <c r="A5" s="52"/>
      <c r="B5" s="82" t="s">
        <v>64</v>
      </c>
      <c r="C5" s="78">
        <v>14.3</v>
      </c>
      <c r="D5" s="75"/>
      <c r="E5" s="88"/>
      <c r="F5" s="89"/>
      <c r="G5" s="89"/>
      <c r="H5" s="90"/>
      <c r="I5" s="91"/>
      <c r="K5" s="82" t="s">
        <v>99</v>
      </c>
      <c r="L5" s="78">
        <v>12.1</v>
      </c>
      <c r="M5" s="75"/>
    </row>
    <row r="6" spans="1:13" x14ac:dyDescent="0.2">
      <c r="A6" s="52"/>
      <c r="B6" s="82" t="s">
        <v>65</v>
      </c>
      <c r="C6" s="78">
        <v>16.399999999999999</v>
      </c>
      <c r="D6" s="75"/>
      <c r="E6" s="88"/>
      <c r="F6" s="89"/>
      <c r="G6" s="89"/>
      <c r="H6" s="90"/>
      <c r="I6" s="91"/>
      <c r="K6" s="82" t="s">
        <v>100</v>
      </c>
      <c r="L6" s="78">
        <v>14.2</v>
      </c>
      <c r="M6" s="75"/>
    </row>
    <row r="7" spans="1:13" x14ac:dyDescent="0.2">
      <c r="A7" s="52"/>
      <c r="B7" s="82" t="s">
        <v>66</v>
      </c>
      <c r="C7" s="79">
        <v>16</v>
      </c>
      <c r="D7" s="75"/>
      <c r="E7" s="88"/>
      <c r="F7" s="89"/>
      <c r="G7" s="89"/>
      <c r="H7" s="90"/>
      <c r="I7" s="91"/>
      <c r="K7" s="82" t="s">
        <v>101</v>
      </c>
      <c r="L7" s="78">
        <v>16.7</v>
      </c>
      <c r="M7" s="75"/>
    </row>
    <row r="8" spans="1:13" x14ac:dyDescent="0.2">
      <c r="A8" s="52"/>
      <c r="B8" s="82" t="s">
        <v>67</v>
      </c>
      <c r="C8" s="78">
        <v>14.9</v>
      </c>
      <c r="D8" s="75"/>
      <c r="E8" s="88"/>
      <c r="F8" s="89"/>
      <c r="G8" s="89"/>
      <c r="H8" s="90"/>
      <c r="I8" s="91"/>
      <c r="K8" s="82" t="s">
        <v>102</v>
      </c>
      <c r="L8" s="78">
        <v>16.100000000000001</v>
      </c>
      <c r="M8" s="75"/>
    </row>
    <row r="9" spans="1:13" x14ac:dyDescent="0.2">
      <c r="A9" s="52"/>
      <c r="B9" s="82" t="s">
        <v>68</v>
      </c>
      <c r="C9" s="78">
        <v>13.2</v>
      </c>
      <c r="D9" s="75"/>
      <c r="E9" s="88"/>
      <c r="F9" s="89"/>
      <c r="G9" s="89"/>
      <c r="H9" s="90"/>
      <c r="I9" s="91"/>
      <c r="K9" s="82" t="s">
        <v>103</v>
      </c>
      <c r="L9" s="78">
        <v>15.4</v>
      </c>
      <c r="M9" s="75"/>
    </row>
    <row r="10" spans="1:13" x14ac:dyDescent="0.2">
      <c r="A10" s="52"/>
      <c r="B10" s="82" t="s">
        <v>69</v>
      </c>
      <c r="C10" s="78">
        <v>10.3</v>
      </c>
      <c r="D10" s="75"/>
      <c r="E10" s="88"/>
      <c r="F10" s="89"/>
      <c r="G10" s="89"/>
      <c r="H10" s="90"/>
      <c r="I10" s="91"/>
      <c r="K10" s="82" t="s">
        <v>104</v>
      </c>
      <c r="L10" s="78">
        <v>13.1</v>
      </c>
      <c r="M10" s="75"/>
    </row>
    <row r="11" spans="1:13" x14ac:dyDescent="0.2">
      <c r="A11" s="52"/>
      <c r="B11" s="82" t="s">
        <v>70</v>
      </c>
      <c r="C11" s="78">
        <v>10.4</v>
      </c>
      <c r="D11" s="73">
        <v>12.4</v>
      </c>
      <c r="E11" s="65">
        <v>137367</v>
      </c>
      <c r="F11" s="54">
        <v>77793</v>
      </c>
      <c r="G11" s="54">
        <f>SUM(E11-F11)</f>
        <v>59574</v>
      </c>
      <c r="H11" s="53">
        <f>SUM(F11)/E11*100</f>
        <v>56.631505383389026</v>
      </c>
      <c r="I11" s="66">
        <f t="shared" ref="I11:I27" si="0">SUM(E11-F11)/E11*100</f>
        <v>43.368494616610974</v>
      </c>
      <c r="K11" s="82" t="s">
        <v>105</v>
      </c>
      <c r="L11" s="78">
        <v>10.7</v>
      </c>
      <c r="M11" s="75"/>
    </row>
    <row r="12" spans="1:13" x14ac:dyDescent="0.2">
      <c r="A12" s="52"/>
      <c r="B12" s="82" t="s">
        <v>71</v>
      </c>
      <c r="C12" s="78">
        <v>13.1</v>
      </c>
      <c r="D12" s="73">
        <v>14.5</v>
      </c>
      <c r="E12" s="65">
        <v>164692</v>
      </c>
      <c r="F12" s="54">
        <v>87827</v>
      </c>
      <c r="G12" s="54">
        <f t="shared" ref="G12:G36" si="1">SUM(E12-F12)</f>
        <v>76865</v>
      </c>
      <c r="H12" s="53">
        <f t="shared" ref="H12:H27" si="2">SUM(F12)/E12*100</f>
        <v>53.328030505428316</v>
      </c>
      <c r="I12" s="66">
        <f t="shared" si="0"/>
        <v>46.671969494571684</v>
      </c>
      <c r="K12" s="82" t="s">
        <v>106</v>
      </c>
      <c r="L12" s="78">
        <v>11.4</v>
      </c>
      <c r="M12" s="73">
        <v>13.2</v>
      </c>
    </row>
    <row r="13" spans="1:13" x14ac:dyDescent="0.2">
      <c r="A13" s="52"/>
      <c r="B13" s="86" t="s">
        <v>72</v>
      </c>
      <c r="C13" s="84">
        <v>15.1</v>
      </c>
      <c r="D13" s="74">
        <v>15.9</v>
      </c>
      <c r="E13" s="68">
        <v>182168</v>
      </c>
      <c r="F13" s="56">
        <v>97270</v>
      </c>
      <c r="G13" s="56">
        <f t="shared" si="1"/>
        <v>84898</v>
      </c>
      <c r="H13" s="55">
        <f t="shared" si="2"/>
        <v>53.395766545167099</v>
      </c>
      <c r="I13" s="67">
        <f t="shared" si="0"/>
        <v>46.604233454832901</v>
      </c>
      <c r="K13" s="82" t="s">
        <v>107</v>
      </c>
      <c r="L13" s="78">
        <v>13.7</v>
      </c>
      <c r="M13" s="73">
        <v>15.1</v>
      </c>
    </row>
    <row r="14" spans="1:13" x14ac:dyDescent="0.2">
      <c r="A14" s="52"/>
      <c r="B14" s="86" t="s">
        <v>73</v>
      </c>
      <c r="C14" s="84">
        <v>17.5</v>
      </c>
      <c r="D14" s="74">
        <v>17.3</v>
      </c>
      <c r="E14" s="68">
        <v>195173</v>
      </c>
      <c r="F14" s="56">
        <v>100472</v>
      </c>
      <c r="G14" s="56">
        <f t="shared" si="1"/>
        <v>94701</v>
      </c>
      <c r="H14" s="55">
        <f t="shared" si="2"/>
        <v>51.478431955239714</v>
      </c>
      <c r="I14" s="67">
        <f t="shared" si="0"/>
        <v>48.521568044760286</v>
      </c>
      <c r="K14" s="82" t="s">
        <v>108</v>
      </c>
      <c r="L14" s="78">
        <v>15.7</v>
      </c>
      <c r="M14" s="73">
        <v>16.399999999999999</v>
      </c>
    </row>
    <row r="15" spans="1:13" x14ac:dyDescent="0.2">
      <c r="A15" s="52"/>
      <c r="B15" s="86" t="s">
        <v>74</v>
      </c>
      <c r="C15" s="85">
        <v>18</v>
      </c>
      <c r="D15" s="74">
        <v>16.899999999999999</v>
      </c>
      <c r="E15" s="68">
        <v>187519</v>
      </c>
      <c r="F15" s="56">
        <v>93772</v>
      </c>
      <c r="G15" s="56">
        <f t="shared" si="1"/>
        <v>93747</v>
      </c>
      <c r="H15" s="55">
        <f t="shared" si="2"/>
        <v>50.006665991179553</v>
      </c>
      <c r="I15" s="67">
        <f t="shared" si="0"/>
        <v>49.99333400882044</v>
      </c>
      <c r="K15" s="82" t="s">
        <v>110</v>
      </c>
      <c r="L15" s="78">
        <v>18.100000000000001</v>
      </c>
      <c r="M15" s="73">
        <v>17.8</v>
      </c>
    </row>
    <row r="16" spans="1:13" x14ac:dyDescent="0.2">
      <c r="A16" s="52"/>
      <c r="B16" s="86" t="s">
        <v>75</v>
      </c>
      <c r="C16" s="85">
        <v>20</v>
      </c>
      <c r="D16" s="74">
        <v>16.7</v>
      </c>
      <c r="E16" s="68">
        <v>182497</v>
      </c>
      <c r="F16" s="56">
        <v>92598</v>
      </c>
      <c r="G16" s="56">
        <f t="shared" si="1"/>
        <v>89899</v>
      </c>
      <c r="H16" s="55">
        <f t="shared" si="2"/>
        <v>50.739464210370578</v>
      </c>
      <c r="I16" s="67">
        <f t="shared" si="0"/>
        <v>49.260535789629415</v>
      </c>
      <c r="K16" s="82" t="s">
        <v>111</v>
      </c>
      <c r="L16" s="78">
        <v>20.6</v>
      </c>
      <c r="M16" s="73">
        <v>17.3</v>
      </c>
    </row>
    <row r="17" spans="1:13" x14ac:dyDescent="0.2">
      <c r="A17" s="52"/>
      <c r="B17" s="86" t="s">
        <v>76</v>
      </c>
      <c r="C17" s="85">
        <v>19</v>
      </c>
      <c r="D17" s="74">
        <v>19.100000000000001</v>
      </c>
      <c r="E17" s="68">
        <v>170293</v>
      </c>
      <c r="F17" s="56">
        <v>88723</v>
      </c>
      <c r="G17" s="56">
        <f t="shared" si="1"/>
        <v>81570</v>
      </c>
      <c r="H17" s="55">
        <f t="shared" si="2"/>
        <v>52.100203766449596</v>
      </c>
      <c r="I17" s="67">
        <f t="shared" si="0"/>
        <v>47.899796233550411</v>
      </c>
      <c r="K17" s="82" t="s">
        <v>109</v>
      </c>
      <c r="L17" s="78">
        <v>20.6</v>
      </c>
      <c r="M17" s="73">
        <v>19.100000000000001</v>
      </c>
    </row>
    <row r="18" spans="1:13" x14ac:dyDescent="0.2">
      <c r="A18" s="52"/>
      <c r="B18" s="86" t="s">
        <v>77</v>
      </c>
      <c r="C18" s="84">
        <v>17.600000000000001</v>
      </c>
      <c r="D18" s="74">
        <v>18.399999999999999</v>
      </c>
      <c r="E18" s="68">
        <v>163956</v>
      </c>
      <c r="F18" s="56">
        <v>87626</v>
      </c>
      <c r="G18" s="56">
        <f t="shared" si="1"/>
        <v>76330</v>
      </c>
      <c r="H18" s="55">
        <f t="shared" si="2"/>
        <v>53.444826660811437</v>
      </c>
      <c r="I18" s="67">
        <f t="shared" si="0"/>
        <v>46.555173339188563</v>
      </c>
      <c r="K18" s="82" t="s">
        <v>112</v>
      </c>
      <c r="L18" s="78">
        <v>19.399999999999999</v>
      </c>
      <c r="M18" s="73">
        <v>18.5</v>
      </c>
    </row>
    <row r="19" spans="1:13" x14ac:dyDescent="0.2">
      <c r="A19" s="52"/>
      <c r="B19" s="86" t="s">
        <v>78</v>
      </c>
      <c r="C19" s="84">
        <v>14.8</v>
      </c>
      <c r="D19" s="74">
        <v>16.399999999999999</v>
      </c>
      <c r="E19" s="68">
        <v>145246</v>
      </c>
      <c r="F19" s="56">
        <v>81490</v>
      </c>
      <c r="G19" s="56">
        <f t="shared" si="1"/>
        <v>63756</v>
      </c>
      <c r="H19" s="55">
        <f t="shared" si="2"/>
        <v>56.104815278906131</v>
      </c>
      <c r="I19" s="67">
        <f t="shared" si="0"/>
        <v>43.895184721093869</v>
      </c>
      <c r="K19" s="82" t="s">
        <v>113</v>
      </c>
      <c r="L19" s="79">
        <v>18</v>
      </c>
      <c r="M19" s="73">
        <v>16.399999999999999</v>
      </c>
    </row>
    <row r="20" spans="1:13" x14ac:dyDescent="0.2">
      <c r="A20" s="52"/>
      <c r="B20" s="86" t="s">
        <v>79</v>
      </c>
      <c r="C20" s="84">
        <v>11.2</v>
      </c>
      <c r="D20" s="74">
        <v>14.2</v>
      </c>
      <c r="E20" s="68">
        <v>126360</v>
      </c>
      <c r="F20" s="56">
        <v>73127</v>
      </c>
      <c r="G20" s="56">
        <f t="shared" si="1"/>
        <v>53233</v>
      </c>
      <c r="H20" s="55">
        <f t="shared" si="2"/>
        <v>57.871953149730928</v>
      </c>
      <c r="I20" s="67">
        <f t="shared" si="0"/>
        <v>42.128046850269072</v>
      </c>
      <c r="K20" s="82" t="s">
        <v>114</v>
      </c>
      <c r="L20" s="78">
        <v>15.1</v>
      </c>
      <c r="M20" s="73">
        <v>14.2</v>
      </c>
    </row>
    <row r="21" spans="1:13" x14ac:dyDescent="0.2">
      <c r="A21" s="52"/>
      <c r="B21" s="86" t="s">
        <v>80</v>
      </c>
      <c r="C21" s="84">
        <v>9.5</v>
      </c>
      <c r="D21" s="67">
        <v>13</v>
      </c>
      <c r="E21" s="68">
        <v>115567</v>
      </c>
      <c r="F21" s="56">
        <v>64122</v>
      </c>
      <c r="G21" s="56">
        <f t="shared" si="1"/>
        <v>51445</v>
      </c>
      <c r="H21" s="55">
        <f t="shared" si="2"/>
        <v>55.484697188643814</v>
      </c>
      <c r="I21" s="67">
        <f t="shared" si="0"/>
        <v>44.515302811356186</v>
      </c>
      <c r="K21" s="82" t="s">
        <v>115</v>
      </c>
      <c r="L21" s="78">
        <v>11.5</v>
      </c>
      <c r="M21" s="73">
        <v>14.8</v>
      </c>
    </row>
    <row r="22" spans="1:13" x14ac:dyDescent="0.2">
      <c r="A22" s="52"/>
      <c r="B22" s="86" t="s">
        <v>81</v>
      </c>
      <c r="C22" s="84">
        <v>12.1</v>
      </c>
      <c r="D22" s="74">
        <v>15.9</v>
      </c>
      <c r="E22" s="68">
        <v>141944</v>
      </c>
      <c r="F22" s="56">
        <v>71158</v>
      </c>
      <c r="G22" s="56">
        <f t="shared" si="1"/>
        <v>70786</v>
      </c>
      <c r="H22" s="55">
        <f t="shared" si="2"/>
        <v>50.131037592289914</v>
      </c>
      <c r="I22" s="67">
        <f t="shared" si="0"/>
        <v>49.868962407710086</v>
      </c>
      <c r="K22" s="82" t="s">
        <v>116</v>
      </c>
      <c r="L22" s="78">
        <v>10.4</v>
      </c>
      <c r="M22" s="66">
        <v>14</v>
      </c>
    </row>
    <row r="23" spans="1:13" x14ac:dyDescent="0.2">
      <c r="A23" s="52"/>
      <c r="B23" s="86" t="s">
        <v>82</v>
      </c>
      <c r="C23" s="84">
        <v>12.4</v>
      </c>
      <c r="D23" s="74">
        <v>15.4</v>
      </c>
      <c r="E23" s="68">
        <v>142263</v>
      </c>
      <c r="F23" s="56">
        <v>73359</v>
      </c>
      <c r="G23" s="56">
        <f t="shared" si="1"/>
        <v>68904</v>
      </c>
      <c r="H23" s="55">
        <f t="shared" si="2"/>
        <v>51.565762004175362</v>
      </c>
      <c r="I23" s="67">
        <f t="shared" si="0"/>
        <v>48.434237995824638</v>
      </c>
      <c r="K23" s="82" t="s">
        <v>117</v>
      </c>
      <c r="L23" s="78">
        <v>12.9</v>
      </c>
      <c r="M23" s="73">
        <v>16.7</v>
      </c>
    </row>
    <row r="24" spans="1:13" x14ac:dyDescent="0.2">
      <c r="A24" s="52"/>
      <c r="B24" s="82" t="s">
        <v>83</v>
      </c>
      <c r="C24" s="78">
        <v>12.5</v>
      </c>
      <c r="D24" s="73">
        <v>15.5</v>
      </c>
      <c r="E24" s="65">
        <v>146208</v>
      </c>
      <c r="F24" s="54">
        <v>77403</v>
      </c>
      <c r="G24" s="54">
        <f t="shared" si="1"/>
        <v>68805</v>
      </c>
      <c r="H24" s="53">
        <f t="shared" si="2"/>
        <v>52.940331582403154</v>
      </c>
      <c r="I24" s="66">
        <f t="shared" si="0"/>
        <v>47.059668417596853</v>
      </c>
      <c r="K24" s="82" t="s">
        <v>118</v>
      </c>
      <c r="L24" s="78">
        <v>13.1</v>
      </c>
      <c r="M24" s="66">
        <v>16</v>
      </c>
    </row>
    <row r="25" spans="1:13" x14ac:dyDescent="0.2">
      <c r="A25" s="52"/>
      <c r="B25" s="82" t="s">
        <v>84</v>
      </c>
      <c r="C25" s="78">
        <v>13.4</v>
      </c>
      <c r="D25" s="73">
        <v>16.399999999999999</v>
      </c>
      <c r="E25" s="65">
        <v>153807</v>
      </c>
      <c r="F25" s="54">
        <v>77880</v>
      </c>
      <c r="G25" s="54">
        <f t="shared" si="1"/>
        <v>75927</v>
      </c>
      <c r="H25" s="53">
        <f t="shared" si="2"/>
        <v>50.634886578634266</v>
      </c>
      <c r="I25" s="66">
        <f t="shared" si="0"/>
        <v>49.365113421365734</v>
      </c>
      <c r="K25" s="82" t="s">
        <v>119</v>
      </c>
      <c r="L25" s="78">
        <v>13.2</v>
      </c>
      <c r="M25" s="73">
        <v>16.2</v>
      </c>
    </row>
    <row r="26" spans="1:13" x14ac:dyDescent="0.2">
      <c r="A26" s="52"/>
      <c r="B26" s="82" t="s">
        <v>85</v>
      </c>
      <c r="C26" s="78">
        <v>13.4</v>
      </c>
      <c r="D26" s="73">
        <v>16.3</v>
      </c>
      <c r="E26" s="65">
        <v>154216</v>
      </c>
      <c r="F26" s="54">
        <v>77415</v>
      </c>
      <c r="G26" s="54">
        <f t="shared" si="1"/>
        <v>76801</v>
      </c>
      <c r="H26" s="53">
        <f t="shared" si="2"/>
        <v>50.19907143227681</v>
      </c>
      <c r="I26" s="66">
        <f t="shared" si="0"/>
        <v>49.800928567723197</v>
      </c>
      <c r="K26" s="82" t="s">
        <v>120</v>
      </c>
      <c r="L26" s="78">
        <v>14.2</v>
      </c>
      <c r="M26" s="73">
        <v>16.3</v>
      </c>
    </row>
    <row r="27" spans="1:13" x14ac:dyDescent="0.2">
      <c r="A27" s="52"/>
      <c r="B27" s="82" t="s">
        <v>86</v>
      </c>
      <c r="C27" s="78">
        <v>11.4</v>
      </c>
      <c r="D27" s="73">
        <v>14.6</v>
      </c>
      <c r="E27" s="65">
        <v>137932</v>
      </c>
      <c r="F27" s="54">
        <v>70305</v>
      </c>
      <c r="G27" s="54">
        <f t="shared" si="1"/>
        <v>67627</v>
      </c>
      <c r="H27" s="53">
        <f t="shared" si="2"/>
        <v>50.970768204622566</v>
      </c>
      <c r="I27" s="66">
        <f t="shared" si="0"/>
        <v>49.029231795377434</v>
      </c>
      <c r="K27" s="82" t="s">
        <v>121</v>
      </c>
      <c r="L27" s="78">
        <v>13.9</v>
      </c>
      <c r="M27" s="73">
        <v>14.8</v>
      </c>
    </row>
    <row r="28" spans="1:13" x14ac:dyDescent="0.2">
      <c r="A28" s="52"/>
      <c r="B28" s="82" t="s">
        <v>87</v>
      </c>
      <c r="C28" s="78">
        <v>9.6999999999999993</v>
      </c>
      <c r="D28" s="73">
        <v>13.2</v>
      </c>
      <c r="E28" s="68">
        <v>123514</v>
      </c>
      <c r="F28" s="56">
        <v>63579</v>
      </c>
      <c r="G28" s="56">
        <f t="shared" si="1"/>
        <v>59935</v>
      </c>
      <c r="H28" s="57">
        <f>SUM(F28)/E28*100</f>
        <v>51.475136421782139</v>
      </c>
      <c r="I28" s="69">
        <f>SUM(E28-F28)/E28*100</f>
        <v>48.524863578217854</v>
      </c>
      <c r="K28" s="82" t="s">
        <v>122</v>
      </c>
      <c r="L28" s="79">
        <v>12</v>
      </c>
      <c r="M28" s="73">
        <v>15.2</v>
      </c>
    </row>
    <row r="29" spans="1:13" x14ac:dyDescent="0.2">
      <c r="A29" s="52"/>
      <c r="B29" s="82" t="s">
        <v>88</v>
      </c>
      <c r="C29" s="78">
        <v>8.1999999999999993</v>
      </c>
      <c r="D29" s="73">
        <v>11.5</v>
      </c>
      <c r="E29" s="68">
        <v>107567</v>
      </c>
      <c r="F29" s="56">
        <v>56384</v>
      </c>
      <c r="G29" s="56">
        <f>SUM(E29-F29)</f>
        <v>51183</v>
      </c>
      <c r="H29" s="57">
        <f>SUM(F29)/E29*100</f>
        <v>52.417563007241995</v>
      </c>
      <c r="I29" s="69">
        <f t="shared" ref="I29:I36" si="3">SUM(E29-F29)/E29*100</f>
        <v>47.582436992758005</v>
      </c>
      <c r="K29" s="82" t="s">
        <v>123</v>
      </c>
      <c r="L29" s="79">
        <v>8.3000000000000007</v>
      </c>
      <c r="M29" s="73">
        <v>11.6</v>
      </c>
    </row>
    <row r="30" spans="1:13" x14ac:dyDescent="0.2">
      <c r="A30" s="52"/>
      <c r="B30" s="82" t="s">
        <v>89</v>
      </c>
      <c r="C30" s="78">
        <v>6.6</v>
      </c>
      <c r="D30" s="73">
        <v>9.6</v>
      </c>
      <c r="E30" s="68">
        <v>90972</v>
      </c>
      <c r="F30" s="56">
        <v>48619</v>
      </c>
      <c r="G30" s="56">
        <f t="shared" si="1"/>
        <v>42353</v>
      </c>
      <c r="H30" s="57">
        <f t="shared" ref="H30:H36" si="4">SUM(F30)/E30*100</f>
        <v>53.443916809567781</v>
      </c>
      <c r="I30" s="69">
        <f t="shared" si="3"/>
        <v>46.556083190432226</v>
      </c>
      <c r="K30" s="82" t="s">
        <v>124</v>
      </c>
      <c r="L30" s="78">
        <v>8.5</v>
      </c>
      <c r="M30" s="73">
        <v>11.8</v>
      </c>
    </row>
    <row r="31" spans="1:13" x14ac:dyDescent="0.2">
      <c r="A31" s="52"/>
      <c r="B31" s="82" t="s">
        <v>90</v>
      </c>
      <c r="C31" s="78">
        <v>5.8</v>
      </c>
      <c r="D31" s="73">
        <v>8.6999999999999993</v>
      </c>
      <c r="E31" s="68">
        <v>82933</v>
      </c>
      <c r="F31" s="56">
        <v>45024</v>
      </c>
      <c r="G31" s="56">
        <f t="shared" si="1"/>
        <v>37909</v>
      </c>
      <c r="H31" s="57">
        <f t="shared" si="4"/>
        <v>54.289607273341133</v>
      </c>
      <c r="I31" s="69">
        <f t="shared" si="3"/>
        <v>45.710392726658874</v>
      </c>
      <c r="K31" s="82" t="s">
        <v>125</v>
      </c>
      <c r="L31" s="78">
        <v>6.8</v>
      </c>
      <c r="M31" s="73">
        <v>9.9</v>
      </c>
    </row>
    <row r="32" spans="1:13" x14ac:dyDescent="0.2">
      <c r="A32" s="52"/>
      <c r="B32" s="82" t="s">
        <v>91</v>
      </c>
      <c r="C32" s="78">
        <v>5.2</v>
      </c>
      <c r="D32" s="73">
        <v>7.9</v>
      </c>
      <c r="E32" s="68">
        <v>75455</v>
      </c>
      <c r="F32" s="56">
        <v>40284</v>
      </c>
      <c r="G32" s="56">
        <f t="shared" si="1"/>
        <v>35171</v>
      </c>
      <c r="H32" s="57">
        <f t="shared" si="4"/>
        <v>53.388112119806507</v>
      </c>
      <c r="I32" s="69">
        <f t="shared" si="3"/>
        <v>46.611887880193493</v>
      </c>
      <c r="K32" s="82" t="s">
        <v>126</v>
      </c>
      <c r="L32" s="78">
        <v>6.1</v>
      </c>
      <c r="M32" s="66">
        <v>9</v>
      </c>
    </row>
    <row r="33" spans="1:13" x14ac:dyDescent="0.2">
      <c r="A33" s="52"/>
      <c r="B33" s="82" t="s">
        <v>92</v>
      </c>
      <c r="C33" s="78">
        <v>6.3</v>
      </c>
      <c r="D33" s="73">
        <v>9.1</v>
      </c>
      <c r="E33" s="68">
        <v>87326</v>
      </c>
      <c r="F33" s="56">
        <v>46036</v>
      </c>
      <c r="G33" s="56">
        <f t="shared" si="1"/>
        <v>41290</v>
      </c>
      <c r="H33" s="57">
        <f t="shared" si="4"/>
        <v>52.717403751460047</v>
      </c>
      <c r="I33" s="69">
        <f t="shared" si="3"/>
        <v>47.282596248539953</v>
      </c>
      <c r="K33" s="82" t="s">
        <v>127</v>
      </c>
      <c r="L33" s="78">
        <v>5.5</v>
      </c>
      <c r="M33" s="73">
        <v>8.3000000000000007</v>
      </c>
    </row>
    <row r="34" spans="1:13" x14ac:dyDescent="0.2">
      <c r="A34" s="52"/>
      <c r="B34" s="82" t="s">
        <v>93</v>
      </c>
      <c r="C34" s="78">
        <v>5.8</v>
      </c>
      <c r="D34" s="73">
        <v>9.9</v>
      </c>
      <c r="E34" s="68">
        <v>77291</v>
      </c>
      <c r="F34" s="56">
        <v>41090</v>
      </c>
      <c r="G34" s="56">
        <f t="shared" si="1"/>
        <v>36201</v>
      </c>
      <c r="H34" s="57">
        <f t="shared" si="4"/>
        <v>53.16272269733863</v>
      </c>
      <c r="I34" s="69">
        <f t="shared" si="3"/>
        <v>46.83727730266137</v>
      </c>
      <c r="K34" s="82" t="s">
        <v>128</v>
      </c>
      <c r="L34" s="78">
        <v>6.5</v>
      </c>
      <c r="M34" s="73">
        <v>9.5</v>
      </c>
    </row>
    <row r="35" spans="1:13" x14ac:dyDescent="0.2">
      <c r="A35" s="52"/>
      <c r="B35" s="82" t="s">
        <v>94</v>
      </c>
      <c r="C35" s="78">
        <v>5.2</v>
      </c>
      <c r="D35" s="73">
        <v>8.8000000000000007</v>
      </c>
      <c r="E35" s="68">
        <v>69046</v>
      </c>
      <c r="F35" s="56">
        <v>36088</v>
      </c>
      <c r="G35" s="56">
        <f t="shared" si="1"/>
        <v>32958</v>
      </c>
      <c r="H35" s="57">
        <f t="shared" si="4"/>
        <v>52.266604872114243</v>
      </c>
      <c r="I35" s="69">
        <f t="shared" si="3"/>
        <v>47.733395127885757</v>
      </c>
      <c r="K35" s="82" t="s">
        <v>129</v>
      </c>
      <c r="L35" s="78">
        <v>5.9</v>
      </c>
      <c r="M35" s="73">
        <v>10.1</v>
      </c>
    </row>
    <row r="36" spans="1:13" x14ac:dyDescent="0.2">
      <c r="A36" s="52"/>
      <c r="B36" s="82" t="s">
        <v>95</v>
      </c>
      <c r="C36" s="79">
        <v>5.0999999999999996</v>
      </c>
      <c r="D36" s="73">
        <v>8.6</v>
      </c>
      <c r="E36" s="68">
        <v>67653</v>
      </c>
      <c r="F36" s="56">
        <v>41090</v>
      </c>
      <c r="G36" s="56">
        <f t="shared" si="1"/>
        <v>26563</v>
      </c>
      <c r="H36" s="57">
        <f t="shared" si="4"/>
        <v>60.736404889657514</v>
      </c>
      <c r="I36" s="69">
        <f t="shared" si="3"/>
        <v>39.263595110342479</v>
      </c>
      <c r="K36" s="82" t="s">
        <v>130</v>
      </c>
      <c r="L36" s="78">
        <v>5.5</v>
      </c>
      <c r="M36" s="73">
        <v>9.1999999999999993</v>
      </c>
    </row>
    <row r="37" spans="1:13" ht="12.75" thickBot="1" x14ac:dyDescent="0.25">
      <c r="B37" s="83" t="s">
        <v>96</v>
      </c>
      <c r="C37" s="80"/>
      <c r="D37" s="72"/>
      <c r="E37" s="70"/>
      <c r="F37" s="71"/>
      <c r="G37" s="71"/>
      <c r="H37" s="71"/>
      <c r="I37" s="72"/>
      <c r="K37" s="83" t="s">
        <v>131</v>
      </c>
      <c r="L37" s="80">
        <v>5.4</v>
      </c>
      <c r="M37" s="76">
        <v>9</v>
      </c>
    </row>
    <row r="38" spans="1:13" x14ac:dyDescent="0.2">
      <c r="B38" s="51" t="s">
        <v>134</v>
      </c>
    </row>
    <row r="40" spans="1:13" x14ac:dyDescent="0.2">
      <c r="F40" s="87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2024-12-11T08:00:06Z</cp:lastPrinted>
  <dcterms:created xsi:type="dcterms:W3CDTF">2016-08-02T05:46:03Z</dcterms:created>
  <dcterms:modified xsi:type="dcterms:W3CDTF">2025-01-09T10:20:52Z</dcterms:modified>
</cp:coreProperties>
</file>